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Fejlesztés\Projekt\Other_Marketing\Adattábla\Kiküldött\"/>
    </mc:Choice>
  </mc:AlternateContent>
  <xr:revisionPtr revIDLastSave="0" documentId="13_ncr:1_{22D851FD-E606-4867-BAA9-C8D52DFC0470}" xr6:coauthVersionLast="47" xr6:coauthVersionMax="47" xr10:uidLastSave="{00000000-0000-0000-0000-000000000000}"/>
  <bookViews>
    <workbookView xWindow="-108" yWindow="-108" windowWidth="23256" windowHeight="13896" firstSheet="3" activeTab="9" xr2:uid="{605E8432-BFCE-4AA3-ADCE-7EBCE3D69CA7}"/>
  </bookViews>
  <sheets>
    <sheet name="éves P&amp;L_mérleg" sheetId="1" r:id="rId1"/>
    <sheet name="éves P&amp;L_mérleg_EUR" sheetId="13" r:id="rId2"/>
    <sheet name="féléves P&amp;L_mérleg" sheetId="2" r:id="rId3"/>
    <sheet name="féléves P&amp;L_mérleg_EUR" sheetId="14" r:id="rId4"/>
    <sheet name="negyedéves P&amp;L_mérleg" sheetId="8" r:id="rId5"/>
    <sheet name="szegmensek" sheetId="5" state="hidden" r:id="rId6"/>
    <sheet name="negyedéves P&amp;L_mérleg_EUR" sheetId="15" r:id="rId7"/>
    <sheet name="szegmensek új " sheetId="11" r:id="rId8"/>
    <sheet name="szegmensek - féléves" sheetId="7" state="hidden" r:id="rId9"/>
    <sheet name="naturáliák" sheetId="12" r:id="rId10"/>
  </sheet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6" i="12" l="1"/>
  <c r="O32" i="12" l="1"/>
  <c r="AD6" i="12"/>
  <c r="O62" i="12" l="1"/>
  <c r="O77" i="12"/>
  <c r="O70" i="12"/>
  <c r="O42" i="12"/>
  <c r="O11" i="12"/>
  <c r="O41" i="15" l="1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AF41" i="15"/>
  <c r="AG41" i="15"/>
  <c r="AH41" i="15"/>
  <c r="AI41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AF42" i="15"/>
  <c r="AG42" i="15"/>
  <c r="AH42" i="15"/>
  <c r="AI42" i="15"/>
  <c r="O43" i="15"/>
  <c r="P43" i="15"/>
  <c r="Q43" i="15"/>
  <c r="R43" i="15"/>
  <c r="S43" i="15"/>
  <c r="T43" i="15"/>
  <c r="U43" i="15"/>
  <c r="V43" i="15"/>
  <c r="W43" i="15"/>
  <c r="X43" i="15"/>
  <c r="Y43" i="15"/>
  <c r="Z43" i="15"/>
  <c r="AA43" i="15"/>
  <c r="AB43" i="15"/>
  <c r="AC43" i="15"/>
  <c r="AD43" i="15"/>
  <c r="AE43" i="15"/>
  <c r="AF43" i="15"/>
  <c r="AG43" i="15"/>
  <c r="AH43" i="15"/>
  <c r="AI43" i="15"/>
  <c r="O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AF44" i="15"/>
  <c r="AG44" i="15"/>
  <c r="AH44" i="15"/>
  <c r="AI44" i="15"/>
  <c r="O45" i="15"/>
  <c r="P45" i="15"/>
  <c r="Q45" i="15"/>
  <c r="R45" i="15"/>
  <c r="S45" i="15"/>
  <c r="T45" i="15"/>
  <c r="U45" i="15"/>
  <c r="V45" i="15"/>
  <c r="W45" i="15"/>
  <c r="X45" i="15"/>
  <c r="Y45" i="15"/>
  <c r="Z45" i="15"/>
  <c r="AA45" i="15"/>
  <c r="AB45" i="15"/>
  <c r="AC45" i="15"/>
  <c r="AD45" i="15"/>
  <c r="AE45" i="15"/>
  <c r="AF45" i="15"/>
  <c r="AG45" i="15"/>
  <c r="AH45" i="15"/>
  <c r="AI45" i="15"/>
  <c r="O46" i="15"/>
  <c r="P46" i="15"/>
  <c r="Q46" i="15"/>
  <c r="R46" i="15"/>
  <c r="S46" i="15"/>
  <c r="T46" i="15"/>
  <c r="U46" i="15"/>
  <c r="V46" i="15"/>
  <c r="W46" i="15"/>
  <c r="X46" i="15"/>
  <c r="Y46" i="15"/>
  <c r="Z46" i="15"/>
  <c r="AA46" i="15"/>
  <c r="AB46" i="15"/>
  <c r="AC46" i="15"/>
  <c r="AD46" i="15"/>
  <c r="AE46" i="15"/>
  <c r="AF46" i="15"/>
  <c r="AG46" i="15"/>
  <c r="AH46" i="15"/>
  <c r="AI46" i="15"/>
  <c r="O47" i="15"/>
  <c r="P47" i="15"/>
  <c r="Q47" i="15"/>
  <c r="R47" i="15"/>
  <c r="S47" i="15"/>
  <c r="T47" i="15"/>
  <c r="U47" i="15"/>
  <c r="V47" i="15"/>
  <c r="W47" i="15"/>
  <c r="X47" i="15"/>
  <c r="Y47" i="15"/>
  <c r="Z47" i="15"/>
  <c r="AA47" i="15"/>
  <c r="AB47" i="15"/>
  <c r="AC47" i="15"/>
  <c r="AD47" i="15"/>
  <c r="AE47" i="15"/>
  <c r="AF47" i="15"/>
  <c r="AG47" i="15"/>
  <c r="AH47" i="15"/>
  <c r="AI47" i="15"/>
  <c r="O48" i="15"/>
  <c r="P48" i="15"/>
  <c r="Q48" i="15"/>
  <c r="R48" i="15"/>
  <c r="S48" i="15"/>
  <c r="T48" i="15"/>
  <c r="U48" i="15"/>
  <c r="V48" i="15"/>
  <c r="W48" i="15"/>
  <c r="X48" i="15"/>
  <c r="Y48" i="15"/>
  <c r="Z48" i="15"/>
  <c r="AA48" i="15"/>
  <c r="AB48" i="15"/>
  <c r="AC48" i="15"/>
  <c r="AD48" i="15"/>
  <c r="AE48" i="15"/>
  <c r="AF48" i="15"/>
  <c r="AG48" i="15"/>
  <c r="AH48" i="15"/>
  <c r="AI48" i="15"/>
  <c r="O49" i="15"/>
  <c r="P49" i="15"/>
  <c r="Q49" i="15"/>
  <c r="R49" i="15"/>
  <c r="S49" i="15"/>
  <c r="T49" i="15"/>
  <c r="U49" i="15"/>
  <c r="V49" i="15"/>
  <c r="W49" i="15"/>
  <c r="X49" i="15"/>
  <c r="Y49" i="15"/>
  <c r="Z49" i="15"/>
  <c r="AA49" i="15"/>
  <c r="AB49" i="15"/>
  <c r="AC49" i="15"/>
  <c r="AD49" i="15"/>
  <c r="AE49" i="15"/>
  <c r="AF49" i="15"/>
  <c r="AG49" i="15"/>
  <c r="AH49" i="15"/>
  <c r="AI49" i="15"/>
  <c r="O50" i="15"/>
  <c r="P50" i="15"/>
  <c r="Q50" i="15"/>
  <c r="R50" i="15"/>
  <c r="S50" i="15"/>
  <c r="T50" i="15"/>
  <c r="U50" i="15"/>
  <c r="V50" i="15"/>
  <c r="W50" i="15"/>
  <c r="X50" i="15"/>
  <c r="Y50" i="15"/>
  <c r="Z50" i="15"/>
  <c r="AA50" i="15"/>
  <c r="AB50" i="15"/>
  <c r="AC50" i="15"/>
  <c r="AD50" i="15"/>
  <c r="AE50" i="15"/>
  <c r="AF50" i="15"/>
  <c r="AG50" i="15"/>
  <c r="AH50" i="15"/>
  <c r="AI50" i="15"/>
  <c r="O51" i="15"/>
  <c r="P51" i="15"/>
  <c r="Q51" i="15"/>
  <c r="R51" i="15"/>
  <c r="S51" i="15"/>
  <c r="T51" i="15"/>
  <c r="U51" i="15"/>
  <c r="V51" i="15"/>
  <c r="W51" i="15"/>
  <c r="X51" i="15"/>
  <c r="Y51" i="15"/>
  <c r="Z51" i="15"/>
  <c r="AA51" i="15"/>
  <c r="AB51" i="15"/>
  <c r="AC51" i="15"/>
  <c r="AD51" i="15"/>
  <c r="AE51" i="15"/>
  <c r="AF51" i="15"/>
  <c r="AG51" i="15"/>
  <c r="AH51" i="15"/>
  <c r="AI51" i="15"/>
  <c r="O52" i="15"/>
  <c r="P52" i="15"/>
  <c r="Q52" i="15"/>
  <c r="R52" i="15"/>
  <c r="S52" i="15"/>
  <c r="T52" i="15"/>
  <c r="U52" i="15"/>
  <c r="V52" i="15"/>
  <c r="W52" i="15"/>
  <c r="X52" i="15"/>
  <c r="Y52" i="15"/>
  <c r="Z52" i="15"/>
  <c r="AA52" i="15"/>
  <c r="AB52" i="15"/>
  <c r="AC52" i="15"/>
  <c r="AD52" i="15"/>
  <c r="AE52" i="15"/>
  <c r="AF52" i="15"/>
  <c r="AG52" i="15"/>
  <c r="AH52" i="15"/>
  <c r="AI52" i="15"/>
  <c r="N44" i="15"/>
  <c r="N45" i="15"/>
  <c r="N46" i="15"/>
  <c r="N47" i="15"/>
  <c r="N48" i="15"/>
  <c r="N49" i="15"/>
  <c r="N50" i="15"/>
  <c r="N51" i="15"/>
  <c r="N52" i="15"/>
  <c r="N43" i="15"/>
  <c r="N42" i="15"/>
  <c r="N41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I28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I29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AF30" i="15"/>
  <c r="AG30" i="15"/>
  <c r="AI30" i="15"/>
  <c r="O31" i="15"/>
  <c r="P31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AF31" i="15"/>
  <c r="AG31" i="15"/>
  <c r="AI31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AF32" i="15"/>
  <c r="AG32" i="15"/>
  <c r="AI32" i="15"/>
  <c r="O33" i="15"/>
  <c r="P33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AF33" i="15"/>
  <c r="AG33" i="15"/>
  <c r="AI33" i="15"/>
  <c r="O34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AB34" i="15"/>
  <c r="AC34" i="15"/>
  <c r="AD34" i="15"/>
  <c r="AE34" i="15"/>
  <c r="AF34" i="15"/>
  <c r="AG34" i="15"/>
  <c r="AI34" i="15"/>
  <c r="O35" i="15"/>
  <c r="P35" i="15"/>
  <c r="Q35" i="15"/>
  <c r="R35" i="15"/>
  <c r="S35" i="15"/>
  <c r="T35" i="15"/>
  <c r="U35" i="15"/>
  <c r="V35" i="15"/>
  <c r="W35" i="15"/>
  <c r="X35" i="15"/>
  <c r="Y35" i="15"/>
  <c r="Z35" i="15"/>
  <c r="AA35" i="15"/>
  <c r="AB35" i="15"/>
  <c r="AC35" i="15"/>
  <c r="AD35" i="15"/>
  <c r="AE35" i="15"/>
  <c r="AF35" i="15"/>
  <c r="AG35" i="15"/>
  <c r="AI35" i="15"/>
  <c r="N35" i="15"/>
  <c r="N31" i="15"/>
  <c r="N32" i="15"/>
  <c r="N33" i="15"/>
  <c r="N34" i="15"/>
  <c r="N30" i="15"/>
  <c r="N29" i="15"/>
  <c r="N28" i="15"/>
  <c r="AI39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AI5" i="15"/>
  <c r="AI39" i="8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1" i="13"/>
  <c r="L60" i="13"/>
  <c r="L59" i="13"/>
  <c r="L58" i="13"/>
  <c r="L57" i="13"/>
  <c r="L56" i="13"/>
  <c r="L55" i="13"/>
  <c r="L54" i="13"/>
  <c r="L53" i="13"/>
  <c r="L63" i="13" s="1"/>
  <c r="L51" i="13"/>
  <c r="L50" i="13"/>
  <c r="L49" i="13"/>
  <c r="L48" i="13"/>
  <c r="L47" i="13"/>
  <c r="L46" i="13"/>
  <c r="L45" i="13"/>
  <c r="L44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27" i="13"/>
  <c r="L26" i="13"/>
  <c r="L25" i="13"/>
  <c r="L24" i="13"/>
  <c r="L23" i="13"/>
  <c r="L22" i="13"/>
  <c r="L21" i="13"/>
  <c r="L20" i="13"/>
  <c r="L19" i="13"/>
  <c r="L29" i="13" s="1"/>
  <c r="L17" i="13"/>
  <c r="L16" i="13"/>
  <c r="L15" i="13"/>
  <c r="L14" i="13"/>
  <c r="L13" i="13"/>
  <c r="L12" i="13"/>
  <c r="L11" i="13"/>
  <c r="L10" i="13"/>
  <c r="L9" i="13"/>
  <c r="L8" i="13"/>
  <c r="L7" i="13"/>
  <c r="L6" i="13"/>
  <c r="L77" i="1"/>
  <c r="L79" i="1" s="1"/>
  <c r="L82" i="1" s="1"/>
  <c r="L86" i="1" s="1"/>
  <c r="L53" i="1"/>
  <c r="L44" i="1"/>
  <c r="L32" i="1"/>
  <c r="L31" i="1" s="1"/>
  <c r="L19" i="1"/>
  <c r="L6" i="1"/>
  <c r="L65" i="1" l="1"/>
  <c r="L29" i="1"/>
  <c r="G31" i="14" l="1"/>
  <c r="D42" i="15"/>
  <c r="E42" i="15"/>
  <c r="F42" i="15"/>
  <c r="G42" i="15"/>
  <c r="H42" i="15"/>
  <c r="I42" i="15"/>
  <c r="J42" i="15"/>
  <c r="K42" i="15"/>
  <c r="L42" i="15"/>
  <c r="M42" i="15"/>
  <c r="D43" i="15"/>
  <c r="E43" i="15"/>
  <c r="F43" i="15"/>
  <c r="G43" i="15"/>
  <c r="H43" i="15"/>
  <c r="I43" i="15"/>
  <c r="J43" i="15"/>
  <c r="K43" i="15"/>
  <c r="L43" i="15"/>
  <c r="M43" i="15"/>
  <c r="D44" i="15"/>
  <c r="E44" i="15"/>
  <c r="F44" i="15"/>
  <c r="G44" i="15"/>
  <c r="H44" i="15"/>
  <c r="I44" i="15"/>
  <c r="J44" i="15"/>
  <c r="K44" i="15"/>
  <c r="L44" i="15"/>
  <c r="M44" i="15"/>
  <c r="D45" i="15"/>
  <c r="E45" i="15"/>
  <c r="F45" i="15"/>
  <c r="G45" i="15"/>
  <c r="H45" i="15"/>
  <c r="I45" i="15"/>
  <c r="J45" i="15"/>
  <c r="K45" i="15"/>
  <c r="L45" i="15"/>
  <c r="M45" i="15"/>
  <c r="D46" i="15"/>
  <c r="E46" i="15"/>
  <c r="F46" i="15"/>
  <c r="G46" i="15"/>
  <c r="H46" i="15"/>
  <c r="I46" i="15"/>
  <c r="J46" i="15"/>
  <c r="K46" i="15"/>
  <c r="L46" i="15"/>
  <c r="M46" i="15"/>
  <c r="D47" i="15"/>
  <c r="E47" i="15"/>
  <c r="F47" i="15"/>
  <c r="G47" i="15"/>
  <c r="H47" i="15"/>
  <c r="I47" i="15"/>
  <c r="J47" i="15"/>
  <c r="K47" i="15"/>
  <c r="L47" i="15"/>
  <c r="M47" i="15"/>
  <c r="D48" i="15"/>
  <c r="E48" i="15"/>
  <c r="F48" i="15"/>
  <c r="G48" i="15"/>
  <c r="H48" i="15"/>
  <c r="I48" i="15"/>
  <c r="J48" i="15"/>
  <c r="K48" i="15"/>
  <c r="L48" i="15"/>
  <c r="M48" i="15"/>
  <c r="D49" i="15"/>
  <c r="E49" i="15"/>
  <c r="F49" i="15"/>
  <c r="G49" i="15"/>
  <c r="H49" i="15"/>
  <c r="I49" i="15"/>
  <c r="J49" i="15"/>
  <c r="K49" i="15"/>
  <c r="L49" i="15"/>
  <c r="M49" i="15"/>
  <c r="D50" i="15"/>
  <c r="E50" i="15"/>
  <c r="F50" i="15"/>
  <c r="G50" i="15"/>
  <c r="H50" i="15"/>
  <c r="I50" i="15"/>
  <c r="J50" i="15"/>
  <c r="K50" i="15"/>
  <c r="L50" i="15"/>
  <c r="M50" i="15"/>
  <c r="D51" i="15"/>
  <c r="E51" i="15"/>
  <c r="F51" i="15"/>
  <c r="G51" i="15"/>
  <c r="H51" i="15"/>
  <c r="I51" i="15"/>
  <c r="J51" i="15"/>
  <c r="K51" i="15"/>
  <c r="L51" i="15"/>
  <c r="M51" i="15"/>
  <c r="D52" i="15"/>
  <c r="E52" i="15"/>
  <c r="F52" i="15"/>
  <c r="G52" i="15"/>
  <c r="H52" i="15"/>
  <c r="I52" i="15"/>
  <c r="J52" i="15"/>
  <c r="K52" i="15"/>
  <c r="L52" i="15"/>
  <c r="M52" i="15"/>
  <c r="M41" i="15"/>
  <c r="L41" i="15"/>
  <c r="K41" i="15"/>
  <c r="J41" i="15"/>
  <c r="I41" i="15"/>
  <c r="H41" i="15"/>
  <c r="G41" i="15"/>
  <c r="F41" i="15"/>
  <c r="E41" i="15"/>
  <c r="D41" i="15"/>
  <c r="D29" i="15"/>
  <c r="E29" i="15"/>
  <c r="F29" i="15"/>
  <c r="G29" i="15"/>
  <c r="H29" i="15"/>
  <c r="I29" i="15"/>
  <c r="J29" i="15"/>
  <c r="K29" i="15"/>
  <c r="L29" i="15"/>
  <c r="M29" i="15"/>
  <c r="D30" i="15"/>
  <c r="E30" i="15"/>
  <c r="F30" i="15"/>
  <c r="G30" i="15"/>
  <c r="H30" i="15"/>
  <c r="I30" i="15"/>
  <c r="J30" i="15"/>
  <c r="K30" i="15"/>
  <c r="L30" i="15"/>
  <c r="M30" i="15"/>
  <c r="D31" i="15"/>
  <c r="E31" i="15"/>
  <c r="F31" i="15"/>
  <c r="G31" i="15"/>
  <c r="H31" i="15"/>
  <c r="I31" i="15"/>
  <c r="J31" i="15"/>
  <c r="K31" i="15"/>
  <c r="L31" i="15"/>
  <c r="M31" i="15"/>
  <c r="D32" i="15"/>
  <c r="E32" i="15"/>
  <c r="F32" i="15"/>
  <c r="G32" i="15"/>
  <c r="H32" i="15"/>
  <c r="I32" i="15"/>
  <c r="J32" i="15"/>
  <c r="K32" i="15"/>
  <c r="L32" i="15"/>
  <c r="M32" i="15"/>
  <c r="D33" i="15"/>
  <c r="E33" i="15"/>
  <c r="F33" i="15"/>
  <c r="G33" i="15"/>
  <c r="H33" i="15"/>
  <c r="I33" i="15"/>
  <c r="J33" i="15"/>
  <c r="K33" i="15"/>
  <c r="L33" i="15"/>
  <c r="M33" i="15"/>
  <c r="D34" i="15"/>
  <c r="E34" i="15"/>
  <c r="F34" i="15"/>
  <c r="G34" i="15"/>
  <c r="H34" i="15"/>
  <c r="I34" i="15"/>
  <c r="J34" i="15"/>
  <c r="K34" i="15"/>
  <c r="L34" i="15"/>
  <c r="M34" i="15"/>
  <c r="D35" i="15"/>
  <c r="E35" i="15"/>
  <c r="F35" i="15"/>
  <c r="G35" i="15"/>
  <c r="H35" i="15"/>
  <c r="I35" i="15"/>
  <c r="J35" i="15"/>
  <c r="K35" i="15"/>
  <c r="L35" i="15"/>
  <c r="M35" i="15"/>
  <c r="E28" i="15"/>
  <c r="F28" i="15"/>
  <c r="G28" i="15"/>
  <c r="H28" i="15"/>
  <c r="I28" i="15"/>
  <c r="J28" i="15"/>
  <c r="K28" i="15"/>
  <c r="L28" i="15"/>
  <c r="M28" i="15"/>
  <c r="D28" i="15"/>
  <c r="D6" i="15"/>
  <c r="E6" i="15"/>
  <c r="F6" i="15"/>
  <c r="H6" i="15"/>
  <c r="I6" i="15"/>
  <c r="J6" i="15"/>
  <c r="L6" i="15"/>
  <c r="M6" i="15"/>
  <c r="N6" i="15"/>
  <c r="P6" i="15"/>
  <c r="Q6" i="15"/>
  <c r="R6" i="15"/>
  <c r="S6" i="15"/>
  <c r="T6" i="15"/>
  <c r="U6" i="15"/>
  <c r="V6" i="15"/>
  <c r="W6" i="15"/>
  <c r="X6" i="15"/>
  <c r="Y6" i="15"/>
  <c r="Z6" i="15"/>
  <c r="AB6" i="15"/>
  <c r="AC6" i="15"/>
  <c r="AD6" i="15"/>
  <c r="AE6" i="15"/>
  <c r="AF6" i="15"/>
  <c r="AG6" i="15"/>
  <c r="AH6" i="15"/>
  <c r="D7" i="15"/>
  <c r="E7" i="15"/>
  <c r="F7" i="15"/>
  <c r="H7" i="15"/>
  <c r="I7" i="15"/>
  <c r="J7" i="15"/>
  <c r="L7" i="15"/>
  <c r="M7" i="15"/>
  <c r="N7" i="15"/>
  <c r="P7" i="15"/>
  <c r="Q7" i="15"/>
  <c r="R7" i="15"/>
  <c r="S7" i="15"/>
  <c r="T7" i="15"/>
  <c r="U7" i="15"/>
  <c r="V7" i="15"/>
  <c r="W7" i="15"/>
  <c r="X7" i="15"/>
  <c r="Y7" i="15"/>
  <c r="Z7" i="15"/>
  <c r="AB7" i="15"/>
  <c r="AC7" i="15"/>
  <c r="AD7" i="15"/>
  <c r="AE7" i="15"/>
  <c r="AF7" i="15"/>
  <c r="AG7" i="15"/>
  <c r="AH7" i="15"/>
  <c r="D8" i="15"/>
  <c r="E8" i="15"/>
  <c r="F8" i="15"/>
  <c r="H8" i="15"/>
  <c r="I8" i="15"/>
  <c r="J8" i="15"/>
  <c r="L8" i="15"/>
  <c r="M8" i="15"/>
  <c r="N8" i="15"/>
  <c r="P8" i="15"/>
  <c r="Q8" i="15"/>
  <c r="R8" i="15"/>
  <c r="S8" i="15"/>
  <c r="T8" i="15"/>
  <c r="U8" i="15"/>
  <c r="V8" i="15"/>
  <c r="W8" i="15"/>
  <c r="X8" i="15"/>
  <c r="Y8" i="15"/>
  <c r="Z8" i="15"/>
  <c r="AB8" i="15"/>
  <c r="AC8" i="15"/>
  <c r="AD8" i="15"/>
  <c r="AE8" i="15"/>
  <c r="AF8" i="15"/>
  <c r="AG8" i="15"/>
  <c r="AH8" i="15"/>
  <c r="D9" i="15"/>
  <c r="E9" i="15"/>
  <c r="F9" i="15"/>
  <c r="H9" i="15"/>
  <c r="I9" i="15"/>
  <c r="J9" i="15"/>
  <c r="L9" i="15"/>
  <c r="M9" i="15"/>
  <c r="N9" i="15"/>
  <c r="P9" i="15"/>
  <c r="Q9" i="15"/>
  <c r="R9" i="15"/>
  <c r="S9" i="15"/>
  <c r="T9" i="15"/>
  <c r="U9" i="15"/>
  <c r="V9" i="15"/>
  <c r="W9" i="15"/>
  <c r="X9" i="15"/>
  <c r="Y9" i="15"/>
  <c r="Z9" i="15"/>
  <c r="AB9" i="15"/>
  <c r="AC9" i="15"/>
  <c r="AD9" i="15"/>
  <c r="AE9" i="15"/>
  <c r="AF9" i="15"/>
  <c r="AG9" i="15"/>
  <c r="AH9" i="15"/>
  <c r="D10" i="15"/>
  <c r="E10" i="15"/>
  <c r="F10" i="15"/>
  <c r="H10" i="15"/>
  <c r="I10" i="15"/>
  <c r="J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B10" i="15"/>
  <c r="AC10" i="15"/>
  <c r="AD10" i="15"/>
  <c r="AE10" i="15"/>
  <c r="AF10" i="15"/>
  <c r="AG10" i="15"/>
  <c r="AH10" i="15"/>
  <c r="D11" i="15"/>
  <c r="E11" i="15"/>
  <c r="F11" i="15"/>
  <c r="H11" i="15"/>
  <c r="I11" i="15"/>
  <c r="J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B11" i="15"/>
  <c r="AC11" i="15"/>
  <c r="AD11" i="15"/>
  <c r="AE11" i="15"/>
  <c r="AF11" i="15"/>
  <c r="AG11" i="15"/>
  <c r="AH11" i="15"/>
  <c r="D12" i="15"/>
  <c r="E12" i="15"/>
  <c r="F12" i="15"/>
  <c r="H12" i="15"/>
  <c r="I12" i="15"/>
  <c r="J12" i="15"/>
  <c r="L12" i="15"/>
  <c r="M12" i="15"/>
  <c r="N12" i="15"/>
  <c r="P12" i="15"/>
  <c r="Q12" i="15"/>
  <c r="R12" i="15"/>
  <c r="S12" i="15"/>
  <c r="T12" i="15"/>
  <c r="U12" i="15"/>
  <c r="V12" i="15"/>
  <c r="W12" i="15"/>
  <c r="X12" i="15"/>
  <c r="Y12" i="15"/>
  <c r="Z12" i="15"/>
  <c r="AB12" i="15"/>
  <c r="AC12" i="15"/>
  <c r="AD12" i="15"/>
  <c r="AE12" i="15"/>
  <c r="AF12" i="15"/>
  <c r="AG12" i="15"/>
  <c r="AH12" i="15"/>
  <c r="D13" i="15"/>
  <c r="E13" i="15"/>
  <c r="F13" i="15"/>
  <c r="H13" i="15"/>
  <c r="I13" i="15"/>
  <c r="J13" i="15"/>
  <c r="L13" i="15"/>
  <c r="M13" i="15"/>
  <c r="N13" i="15"/>
  <c r="P13" i="15"/>
  <c r="Q13" i="15"/>
  <c r="R13" i="15"/>
  <c r="S13" i="15"/>
  <c r="T13" i="15"/>
  <c r="U13" i="15"/>
  <c r="V13" i="15"/>
  <c r="W13" i="15"/>
  <c r="X13" i="15"/>
  <c r="Y13" i="15"/>
  <c r="Z13" i="15"/>
  <c r="AB13" i="15"/>
  <c r="AC13" i="15"/>
  <c r="AD13" i="15"/>
  <c r="AE13" i="15"/>
  <c r="AF13" i="15"/>
  <c r="AG13" i="15"/>
  <c r="AH13" i="15"/>
  <c r="D14" i="15"/>
  <c r="E14" i="15"/>
  <c r="F14" i="15"/>
  <c r="H14" i="15"/>
  <c r="I14" i="15"/>
  <c r="J14" i="15"/>
  <c r="L14" i="15"/>
  <c r="M14" i="15"/>
  <c r="N14" i="15"/>
  <c r="P14" i="15"/>
  <c r="Q14" i="15"/>
  <c r="R14" i="15"/>
  <c r="S14" i="15"/>
  <c r="T14" i="15"/>
  <c r="U14" i="15"/>
  <c r="V14" i="15"/>
  <c r="W14" i="15"/>
  <c r="X14" i="15"/>
  <c r="Y14" i="15"/>
  <c r="Z14" i="15"/>
  <c r="AB14" i="15"/>
  <c r="AC14" i="15"/>
  <c r="AD14" i="15"/>
  <c r="AE14" i="15"/>
  <c r="AF14" i="15"/>
  <c r="AG14" i="15"/>
  <c r="AH14" i="15"/>
  <c r="D15" i="15"/>
  <c r="E15" i="15"/>
  <c r="F15" i="15"/>
  <c r="H15" i="15"/>
  <c r="I15" i="15"/>
  <c r="J15" i="15"/>
  <c r="L15" i="15"/>
  <c r="M15" i="15"/>
  <c r="N15" i="15"/>
  <c r="P15" i="15"/>
  <c r="Q15" i="15"/>
  <c r="R15" i="15"/>
  <c r="S15" i="15"/>
  <c r="T15" i="15"/>
  <c r="U15" i="15"/>
  <c r="V15" i="15"/>
  <c r="W15" i="15"/>
  <c r="X15" i="15"/>
  <c r="Y15" i="15"/>
  <c r="Z15" i="15"/>
  <c r="AB15" i="15"/>
  <c r="AC15" i="15"/>
  <c r="AD15" i="15"/>
  <c r="AE15" i="15"/>
  <c r="AF15" i="15"/>
  <c r="AG15" i="15"/>
  <c r="AH15" i="15"/>
  <c r="D16" i="15"/>
  <c r="E16" i="15"/>
  <c r="F16" i="15"/>
  <c r="H16" i="15"/>
  <c r="I16" i="15"/>
  <c r="J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B16" i="15"/>
  <c r="AC16" i="15"/>
  <c r="AD16" i="15"/>
  <c r="AE16" i="15"/>
  <c r="AF16" i="15"/>
  <c r="AG16" i="15"/>
  <c r="AH16" i="15"/>
  <c r="D17" i="15"/>
  <c r="E17" i="15"/>
  <c r="F17" i="15"/>
  <c r="H17" i="15"/>
  <c r="I17" i="15"/>
  <c r="J17" i="15"/>
  <c r="L17" i="15"/>
  <c r="M17" i="15"/>
  <c r="N17" i="15"/>
  <c r="P17" i="15"/>
  <c r="Q17" i="15"/>
  <c r="R17" i="15"/>
  <c r="S17" i="15"/>
  <c r="T17" i="15"/>
  <c r="U17" i="15"/>
  <c r="V17" i="15"/>
  <c r="W17" i="15"/>
  <c r="X17" i="15"/>
  <c r="Y17" i="15"/>
  <c r="Z17" i="15"/>
  <c r="AB17" i="15"/>
  <c r="AC17" i="15"/>
  <c r="AD17" i="15"/>
  <c r="AE17" i="15"/>
  <c r="AF17" i="15"/>
  <c r="AG17" i="15"/>
  <c r="AH17" i="15"/>
  <c r="D18" i="15"/>
  <c r="E18" i="15"/>
  <c r="F18" i="15"/>
  <c r="H18" i="15"/>
  <c r="I18" i="15"/>
  <c r="J18" i="15"/>
  <c r="L18" i="15"/>
  <c r="M18" i="15"/>
  <c r="N18" i="15"/>
  <c r="P18" i="15"/>
  <c r="Q18" i="15"/>
  <c r="R18" i="15"/>
  <c r="S18" i="15"/>
  <c r="T18" i="15"/>
  <c r="U18" i="15"/>
  <c r="V18" i="15"/>
  <c r="W18" i="15"/>
  <c r="X18" i="15"/>
  <c r="Y18" i="15"/>
  <c r="Z18" i="15"/>
  <c r="AB18" i="15"/>
  <c r="AC18" i="15"/>
  <c r="AD18" i="15"/>
  <c r="AE18" i="15"/>
  <c r="AF18" i="15"/>
  <c r="AG18" i="15"/>
  <c r="AH18" i="15"/>
  <c r="D19" i="15"/>
  <c r="E19" i="15"/>
  <c r="F19" i="15"/>
  <c r="H19" i="15"/>
  <c r="I19" i="15"/>
  <c r="J19" i="15"/>
  <c r="L19" i="15"/>
  <c r="M19" i="15"/>
  <c r="N19" i="15"/>
  <c r="P19" i="15"/>
  <c r="Q19" i="15"/>
  <c r="R19" i="15"/>
  <c r="S19" i="15"/>
  <c r="T19" i="15"/>
  <c r="U19" i="15"/>
  <c r="V19" i="15"/>
  <c r="W19" i="15"/>
  <c r="X19" i="15"/>
  <c r="Y19" i="15"/>
  <c r="Z19" i="15"/>
  <c r="AB19" i="15"/>
  <c r="AC19" i="15"/>
  <c r="AD19" i="15"/>
  <c r="AE19" i="15"/>
  <c r="AF19" i="15"/>
  <c r="AG19" i="15"/>
  <c r="AH19" i="15"/>
  <c r="D20" i="15"/>
  <c r="E20" i="15"/>
  <c r="F20" i="15"/>
  <c r="H20" i="15"/>
  <c r="I20" i="15"/>
  <c r="J20" i="15"/>
  <c r="L20" i="15"/>
  <c r="M20" i="15"/>
  <c r="N20" i="15"/>
  <c r="P20" i="15"/>
  <c r="Q20" i="15"/>
  <c r="R20" i="15"/>
  <c r="S20" i="15"/>
  <c r="T20" i="15"/>
  <c r="U20" i="15"/>
  <c r="V20" i="15"/>
  <c r="W20" i="15"/>
  <c r="X20" i="15"/>
  <c r="Y20" i="15"/>
  <c r="Z20" i="15"/>
  <c r="AB20" i="15"/>
  <c r="AC20" i="15"/>
  <c r="AD20" i="15"/>
  <c r="AE20" i="15"/>
  <c r="AF20" i="15"/>
  <c r="AG20" i="15"/>
  <c r="AH20" i="15"/>
  <c r="D21" i="15"/>
  <c r="E21" i="15"/>
  <c r="F21" i="15"/>
  <c r="H21" i="15"/>
  <c r="I21" i="15"/>
  <c r="J21" i="15"/>
  <c r="L21" i="15"/>
  <c r="M21" i="15"/>
  <c r="N21" i="15"/>
  <c r="P21" i="15"/>
  <c r="Q21" i="15"/>
  <c r="R21" i="15"/>
  <c r="S21" i="15"/>
  <c r="T21" i="15"/>
  <c r="U21" i="15"/>
  <c r="V21" i="15"/>
  <c r="W21" i="15"/>
  <c r="X21" i="15"/>
  <c r="Y21" i="15"/>
  <c r="Z21" i="15"/>
  <c r="AB21" i="15"/>
  <c r="AC21" i="15"/>
  <c r="AD21" i="15"/>
  <c r="AE21" i="15"/>
  <c r="AF21" i="15"/>
  <c r="AG21" i="15"/>
  <c r="AH21" i="15"/>
  <c r="D22" i="15"/>
  <c r="E22" i="15"/>
  <c r="F22" i="15"/>
  <c r="H22" i="15"/>
  <c r="I22" i="15"/>
  <c r="J22" i="15"/>
  <c r="L22" i="15"/>
  <c r="M22" i="15"/>
  <c r="N22" i="15"/>
  <c r="P22" i="15"/>
  <c r="Q22" i="15"/>
  <c r="R22" i="15"/>
  <c r="S22" i="15"/>
  <c r="T22" i="15"/>
  <c r="U22" i="15"/>
  <c r="V22" i="15"/>
  <c r="W22" i="15"/>
  <c r="X22" i="15"/>
  <c r="Y22" i="15"/>
  <c r="Z22" i="15"/>
  <c r="AB22" i="15"/>
  <c r="AC22" i="15"/>
  <c r="AD22" i="15"/>
  <c r="AE22" i="15"/>
  <c r="AF22" i="15"/>
  <c r="AG22" i="15"/>
  <c r="AH22" i="15"/>
  <c r="D23" i="15"/>
  <c r="E23" i="15"/>
  <c r="F23" i="15"/>
  <c r="H23" i="15"/>
  <c r="I23" i="15"/>
  <c r="J23" i="15"/>
  <c r="L23" i="15"/>
  <c r="M23" i="15"/>
  <c r="N23" i="15"/>
  <c r="P23" i="15"/>
  <c r="Q23" i="15"/>
  <c r="R23" i="15"/>
  <c r="S23" i="15"/>
  <c r="T23" i="15"/>
  <c r="U23" i="15"/>
  <c r="V23" i="15"/>
  <c r="W23" i="15"/>
  <c r="X23" i="15"/>
  <c r="Y23" i="15"/>
  <c r="Z23" i="15"/>
  <c r="AB23" i="15"/>
  <c r="AC23" i="15"/>
  <c r="AD23" i="15"/>
  <c r="AE23" i="15"/>
  <c r="AF23" i="15"/>
  <c r="AG23" i="15"/>
  <c r="AH23" i="15"/>
  <c r="D24" i="15"/>
  <c r="E24" i="15"/>
  <c r="F24" i="15"/>
  <c r="H24" i="15"/>
  <c r="I24" i="15"/>
  <c r="J24" i="15"/>
  <c r="L24" i="15"/>
  <c r="M24" i="15"/>
  <c r="N24" i="15"/>
  <c r="P24" i="15"/>
  <c r="Q24" i="15"/>
  <c r="R24" i="15"/>
  <c r="S24" i="15"/>
  <c r="T24" i="15"/>
  <c r="U24" i="15"/>
  <c r="V24" i="15"/>
  <c r="W24" i="15"/>
  <c r="X24" i="15"/>
  <c r="Y24" i="15"/>
  <c r="Z24" i="15"/>
  <c r="AB24" i="15"/>
  <c r="AC24" i="15"/>
  <c r="AD24" i="15"/>
  <c r="AE24" i="15"/>
  <c r="AF24" i="15"/>
  <c r="AG24" i="15"/>
  <c r="AH24" i="15"/>
  <c r="E5" i="15"/>
  <c r="F5" i="15"/>
  <c r="H5" i="15"/>
  <c r="I5" i="15"/>
  <c r="J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B5" i="15"/>
  <c r="AC5" i="15"/>
  <c r="AD5" i="15"/>
  <c r="AE5" i="15"/>
  <c r="AF5" i="15"/>
  <c r="AG5" i="15"/>
  <c r="AH5" i="15"/>
  <c r="D5" i="15"/>
  <c r="D40" i="15"/>
  <c r="AH39" i="15"/>
  <c r="AG39" i="15"/>
  <c r="AF39" i="15"/>
  <c r="AE39" i="15"/>
  <c r="AD39" i="15"/>
  <c r="AB39" i="15"/>
  <c r="AA39" i="15"/>
  <c r="X39" i="15"/>
  <c r="N39" i="15"/>
  <c r="M39" i="15"/>
  <c r="L39" i="15"/>
  <c r="K39" i="15"/>
  <c r="J39" i="15"/>
  <c r="I39" i="15"/>
  <c r="H39" i="15"/>
  <c r="G39" i="15"/>
  <c r="F39" i="15"/>
  <c r="E39" i="15"/>
  <c r="D39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J38" i="15"/>
  <c r="I38" i="15"/>
  <c r="H38" i="15"/>
  <c r="F38" i="15"/>
  <c r="E38" i="15"/>
  <c r="D38" i="15"/>
  <c r="E27" i="15"/>
  <c r="E40" i="15" s="1"/>
  <c r="R26" i="15"/>
  <c r="R39" i="15" s="1"/>
  <c r="Q26" i="15"/>
  <c r="Q39" i="15" s="1"/>
  <c r="P26" i="15"/>
  <c r="P39" i="15" s="1"/>
  <c r="K25" i="15"/>
  <c r="K38" i="15" s="1"/>
  <c r="G25" i="15"/>
  <c r="G38" i="15" s="1"/>
  <c r="K2" i="15"/>
  <c r="K6" i="15" s="1"/>
  <c r="G2" i="15"/>
  <c r="G6" i="15" s="1"/>
  <c r="K90" i="14"/>
  <c r="J90" i="14"/>
  <c r="I90" i="14"/>
  <c r="H90" i="14"/>
  <c r="F90" i="14"/>
  <c r="E90" i="14"/>
  <c r="D90" i="14"/>
  <c r="K89" i="14"/>
  <c r="J89" i="14"/>
  <c r="I89" i="14"/>
  <c r="H89" i="14"/>
  <c r="F89" i="14"/>
  <c r="E89" i="14"/>
  <c r="D89" i="14"/>
  <c r="K88" i="14"/>
  <c r="J88" i="14"/>
  <c r="I88" i="14"/>
  <c r="H88" i="14"/>
  <c r="F88" i="14"/>
  <c r="E88" i="14"/>
  <c r="D88" i="14"/>
  <c r="K87" i="14"/>
  <c r="J87" i="14"/>
  <c r="I87" i="14"/>
  <c r="H87" i="14"/>
  <c r="F87" i="14"/>
  <c r="E87" i="14"/>
  <c r="D87" i="14"/>
  <c r="K86" i="14"/>
  <c r="J86" i="14"/>
  <c r="I86" i="14"/>
  <c r="H86" i="14"/>
  <c r="F86" i="14"/>
  <c r="E86" i="14"/>
  <c r="D86" i="14"/>
  <c r="K85" i="14"/>
  <c r="J85" i="14"/>
  <c r="I85" i="14"/>
  <c r="H85" i="14"/>
  <c r="F85" i="14"/>
  <c r="E85" i="14"/>
  <c r="D85" i="14"/>
  <c r="K84" i="14"/>
  <c r="J84" i="14"/>
  <c r="I84" i="14"/>
  <c r="H84" i="14"/>
  <c r="F84" i="14"/>
  <c r="E84" i="14"/>
  <c r="D84" i="14"/>
  <c r="K83" i="14"/>
  <c r="J83" i="14"/>
  <c r="I83" i="14"/>
  <c r="H83" i="14"/>
  <c r="F83" i="14"/>
  <c r="E83" i="14"/>
  <c r="D83" i="14"/>
  <c r="K80" i="14"/>
  <c r="J80" i="14"/>
  <c r="I80" i="14"/>
  <c r="H80" i="14"/>
  <c r="F80" i="14"/>
  <c r="E80" i="14"/>
  <c r="D80" i="14"/>
  <c r="K79" i="14"/>
  <c r="J79" i="14"/>
  <c r="I79" i="14"/>
  <c r="H79" i="14"/>
  <c r="F79" i="14"/>
  <c r="E79" i="14"/>
  <c r="D79" i="14"/>
  <c r="K78" i="14"/>
  <c r="J78" i="14"/>
  <c r="I78" i="14"/>
  <c r="H78" i="14"/>
  <c r="F78" i="14"/>
  <c r="E78" i="14"/>
  <c r="D78" i="14"/>
  <c r="K77" i="14"/>
  <c r="J77" i="14"/>
  <c r="I77" i="14"/>
  <c r="H77" i="14"/>
  <c r="F77" i="14"/>
  <c r="E77" i="14"/>
  <c r="D77" i="14"/>
  <c r="K76" i="14"/>
  <c r="J76" i="14"/>
  <c r="I76" i="14"/>
  <c r="H76" i="14"/>
  <c r="F76" i="14"/>
  <c r="E76" i="14"/>
  <c r="D76" i="14"/>
  <c r="K75" i="14"/>
  <c r="J75" i="14"/>
  <c r="I75" i="14"/>
  <c r="H75" i="14"/>
  <c r="F75" i="14"/>
  <c r="E75" i="14"/>
  <c r="D75" i="14"/>
  <c r="K74" i="14"/>
  <c r="J74" i="14"/>
  <c r="I74" i="14"/>
  <c r="H74" i="14"/>
  <c r="F74" i="14"/>
  <c r="E74" i="14"/>
  <c r="D74" i="14"/>
  <c r="D64" i="14"/>
  <c r="E64" i="14"/>
  <c r="F64" i="14"/>
  <c r="F62" i="14" s="1"/>
  <c r="F61" i="14" s="1"/>
  <c r="H64" i="14"/>
  <c r="H62" i="14" s="1"/>
  <c r="H61" i="14" s="1"/>
  <c r="I64" i="14"/>
  <c r="J64" i="14"/>
  <c r="K64" i="14"/>
  <c r="D65" i="14"/>
  <c r="E65" i="14"/>
  <c r="F65" i="14"/>
  <c r="H65" i="14"/>
  <c r="I65" i="14"/>
  <c r="J65" i="14"/>
  <c r="K65" i="14"/>
  <c r="D66" i="14"/>
  <c r="E66" i="14"/>
  <c r="F66" i="14"/>
  <c r="H66" i="14"/>
  <c r="I66" i="14"/>
  <c r="J66" i="14"/>
  <c r="K66" i="14"/>
  <c r="D67" i="14"/>
  <c r="E67" i="14"/>
  <c r="F67" i="14"/>
  <c r="H67" i="14"/>
  <c r="I67" i="14"/>
  <c r="J67" i="14"/>
  <c r="K67" i="14"/>
  <c r="D68" i="14"/>
  <c r="E68" i="14"/>
  <c r="F68" i="14"/>
  <c r="H68" i="14"/>
  <c r="I68" i="14"/>
  <c r="J68" i="14"/>
  <c r="K68" i="14"/>
  <c r="E69" i="14"/>
  <c r="F69" i="14"/>
  <c r="H69" i="14"/>
  <c r="I69" i="14"/>
  <c r="J69" i="14"/>
  <c r="K69" i="14"/>
  <c r="D70" i="14"/>
  <c r="E70" i="14"/>
  <c r="F70" i="14"/>
  <c r="H70" i="14"/>
  <c r="I70" i="14"/>
  <c r="J70" i="14"/>
  <c r="K70" i="14"/>
  <c r="D71" i="14"/>
  <c r="E71" i="14"/>
  <c r="F71" i="14"/>
  <c r="H71" i="14"/>
  <c r="I71" i="14"/>
  <c r="J71" i="14"/>
  <c r="K71" i="14"/>
  <c r="J62" i="14"/>
  <c r="J61" i="14" s="1"/>
  <c r="E63" i="14"/>
  <c r="F63" i="14"/>
  <c r="H63" i="14"/>
  <c r="I63" i="14"/>
  <c r="J63" i="14"/>
  <c r="K63" i="14"/>
  <c r="D63" i="14"/>
  <c r="D32" i="14"/>
  <c r="E32" i="14"/>
  <c r="F32" i="14"/>
  <c r="H32" i="14"/>
  <c r="I32" i="14"/>
  <c r="J32" i="14"/>
  <c r="K32" i="14"/>
  <c r="D33" i="14"/>
  <c r="E33" i="14"/>
  <c r="F33" i="14"/>
  <c r="H33" i="14"/>
  <c r="I33" i="14"/>
  <c r="J33" i="14"/>
  <c r="K33" i="14"/>
  <c r="D34" i="14"/>
  <c r="E34" i="14"/>
  <c r="F34" i="14"/>
  <c r="H34" i="14"/>
  <c r="I34" i="14"/>
  <c r="J34" i="14"/>
  <c r="K34" i="14"/>
  <c r="D35" i="14"/>
  <c r="E35" i="14"/>
  <c r="F35" i="14"/>
  <c r="H35" i="14"/>
  <c r="I35" i="14"/>
  <c r="J35" i="14"/>
  <c r="K35" i="14"/>
  <c r="D36" i="14"/>
  <c r="E36" i="14"/>
  <c r="F36" i="14"/>
  <c r="H36" i="14"/>
  <c r="I36" i="14"/>
  <c r="J36" i="14"/>
  <c r="K36" i="14"/>
  <c r="D37" i="14"/>
  <c r="E37" i="14"/>
  <c r="F37" i="14"/>
  <c r="H37" i="14"/>
  <c r="I37" i="14"/>
  <c r="J37" i="14"/>
  <c r="K37" i="14"/>
  <c r="D38" i="14"/>
  <c r="E38" i="14"/>
  <c r="F38" i="14"/>
  <c r="H38" i="14"/>
  <c r="I38" i="14"/>
  <c r="J38" i="14"/>
  <c r="K38" i="14"/>
  <c r="D39" i="14"/>
  <c r="E39" i="14"/>
  <c r="F39" i="14"/>
  <c r="H39" i="14"/>
  <c r="I39" i="14"/>
  <c r="J39" i="14"/>
  <c r="K39" i="14"/>
  <c r="D40" i="14"/>
  <c r="E40" i="14"/>
  <c r="F40" i="14"/>
  <c r="H40" i="14"/>
  <c r="I40" i="14"/>
  <c r="J40" i="14"/>
  <c r="K40" i="14"/>
  <c r="D41" i="14"/>
  <c r="E41" i="14"/>
  <c r="F41" i="14"/>
  <c r="H41" i="14"/>
  <c r="I41" i="14"/>
  <c r="J41" i="14"/>
  <c r="K41" i="14"/>
  <c r="D42" i="14"/>
  <c r="E42" i="14"/>
  <c r="F42" i="14"/>
  <c r="H42" i="14"/>
  <c r="I42" i="14"/>
  <c r="J42" i="14"/>
  <c r="K42" i="14"/>
  <c r="D43" i="14"/>
  <c r="E43" i="14"/>
  <c r="F43" i="14"/>
  <c r="H43" i="14"/>
  <c r="I43" i="14"/>
  <c r="J43" i="14"/>
  <c r="K43" i="14"/>
  <c r="D44" i="14"/>
  <c r="E44" i="14"/>
  <c r="F44" i="14"/>
  <c r="H44" i="14"/>
  <c r="I44" i="14"/>
  <c r="J44" i="14"/>
  <c r="K44" i="14"/>
  <c r="D45" i="14"/>
  <c r="E45" i="14"/>
  <c r="F45" i="14"/>
  <c r="H45" i="14"/>
  <c r="I45" i="14"/>
  <c r="J45" i="14"/>
  <c r="K45" i="14"/>
  <c r="D46" i="14"/>
  <c r="E46" i="14"/>
  <c r="F46" i="14"/>
  <c r="H46" i="14"/>
  <c r="I46" i="14"/>
  <c r="J46" i="14"/>
  <c r="K46" i="14"/>
  <c r="D47" i="14"/>
  <c r="E47" i="14"/>
  <c r="F47" i="14"/>
  <c r="H47" i="14"/>
  <c r="I47" i="14"/>
  <c r="J47" i="14"/>
  <c r="K47" i="14"/>
  <c r="D48" i="14"/>
  <c r="E48" i="14"/>
  <c r="F48" i="14"/>
  <c r="H48" i="14"/>
  <c r="I48" i="14"/>
  <c r="J48" i="14"/>
  <c r="K48" i="14"/>
  <c r="D49" i="14"/>
  <c r="E49" i="14"/>
  <c r="F49" i="14"/>
  <c r="H49" i="14"/>
  <c r="I49" i="14"/>
  <c r="J49" i="14"/>
  <c r="K49" i="14"/>
  <c r="D50" i="14"/>
  <c r="E50" i="14"/>
  <c r="F50" i="14"/>
  <c r="H50" i="14"/>
  <c r="I50" i="14"/>
  <c r="J50" i="14"/>
  <c r="K50" i="14"/>
  <c r="D51" i="14"/>
  <c r="E51" i="14"/>
  <c r="F51" i="14"/>
  <c r="H51" i="14"/>
  <c r="I51" i="14"/>
  <c r="J51" i="14"/>
  <c r="K51" i="14"/>
  <c r="D52" i="14"/>
  <c r="E52" i="14"/>
  <c r="F52" i="14"/>
  <c r="H52" i="14"/>
  <c r="I52" i="14"/>
  <c r="J52" i="14"/>
  <c r="K52" i="14"/>
  <c r="E53" i="14"/>
  <c r="F53" i="14"/>
  <c r="H53" i="14"/>
  <c r="I53" i="14"/>
  <c r="J53" i="14"/>
  <c r="K53" i="14"/>
  <c r="D54" i="14"/>
  <c r="E54" i="14"/>
  <c r="F54" i="14"/>
  <c r="H54" i="14"/>
  <c r="I54" i="14"/>
  <c r="J54" i="14"/>
  <c r="K54" i="14"/>
  <c r="D55" i="14"/>
  <c r="E55" i="14"/>
  <c r="F55" i="14"/>
  <c r="H55" i="14"/>
  <c r="I55" i="14"/>
  <c r="J55" i="14"/>
  <c r="K55" i="14"/>
  <c r="E31" i="14"/>
  <c r="F31" i="14"/>
  <c r="H31" i="14"/>
  <c r="I31" i="14"/>
  <c r="J31" i="14"/>
  <c r="K31" i="14"/>
  <c r="D31" i="14"/>
  <c r="D6" i="14"/>
  <c r="E6" i="14"/>
  <c r="F6" i="14"/>
  <c r="G6" i="14"/>
  <c r="H6" i="14"/>
  <c r="I6" i="14"/>
  <c r="J6" i="14"/>
  <c r="K6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3" i="14"/>
  <c r="E13" i="14"/>
  <c r="F13" i="14"/>
  <c r="G13" i="14"/>
  <c r="H13" i="14"/>
  <c r="I13" i="14"/>
  <c r="J13" i="14"/>
  <c r="K13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H24" i="14"/>
  <c r="I24" i="14"/>
  <c r="J24" i="14"/>
  <c r="K24" i="14"/>
  <c r="E5" i="14"/>
  <c r="F5" i="14"/>
  <c r="G5" i="14"/>
  <c r="H5" i="14"/>
  <c r="I5" i="14"/>
  <c r="J5" i="14"/>
  <c r="K5" i="14"/>
  <c r="D5" i="14"/>
  <c r="K82" i="14"/>
  <c r="I82" i="14"/>
  <c r="F82" i="14"/>
  <c r="D82" i="14"/>
  <c r="J82" i="14"/>
  <c r="H82" i="14"/>
  <c r="E82" i="14"/>
  <c r="K73" i="14"/>
  <c r="J73" i="14"/>
  <c r="H73" i="14"/>
  <c r="F73" i="14"/>
  <c r="E73" i="14"/>
  <c r="I73" i="14"/>
  <c r="D73" i="14"/>
  <c r="E62" i="14"/>
  <c r="E61" i="14" s="1"/>
  <c r="K62" i="14"/>
  <c r="K61" i="14" s="1"/>
  <c r="I62" i="14"/>
  <c r="I61" i="14" s="1"/>
  <c r="D62" i="14"/>
  <c r="D61" i="14" s="1"/>
  <c r="K58" i="14"/>
  <c r="J58" i="14"/>
  <c r="I58" i="14"/>
  <c r="H58" i="14"/>
  <c r="E30" i="14"/>
  <c r="K30" i="14"/>
  <c r="I30" i="14"/>
  <c r="G90" i="14"/>
  <c r="D69" i="13"/>
  <c r="E69" i="13"/>
  <c r="F69" i="13"/>
  <c r="G69" i="13"/>
  <c r="H69" i="13"/>
  <c r="I69" i="13"/>
  <c r="J69" i="13"/>
  <c r="K69" i="13"/>
  <c r="D70" i="13"/>
  <c r="E70" i="13"/>
  <c r="F70" i="13"/>
  <c r="G70" i="13"/>
  <c r="H70" i="13"/>
  <c r="I70" i="13"/>
  <c r="J70" i="13"/>
  <c r="K70" i="13"/>
  <c r="D71" i="13"/>
  <c r="E71" i="13"/>
  <c r="F71" i="13"/>
  <c r="G71" i="13"/>
  <c r="H71" i="13"/>
  <c r="I71" i="13"/>
  <c r="J71" i="13"/>
  <c r="K71" i="13"/>
  <c r="D72" i="13"/>
  <c r="E72" i="13"/>
  <c r="F72" i="13"/>
  <c r="G72" i="13"/>
  <c r="H72" i="13"/>
  <c r="I72" i="13"/>
  <c r="J72" i="13"/>
  <c r="K72" i="13"/>
  <c r="D73" i="13"/>
  <c r="E73" i="13"/>
  <c r="F73" i="13"/>
  <c r="G73" i="13"/>
  <c r="H73" i="13"/>
  <c r="I73" i="13"/>
  <c r="J73" i="13"/>
  <c r="K73" i="13"/>
  <c r="D74" i="13"/>
  <c r="E74" i="13"/>
  <c r="F74" i="13"/>
  <c r="G74" i="13"/>
  <c r="H74" i="13"/>
  <c r="I74" i="13"/>
  <c r="J74" i="13"/>
  <c r="K74" i="13"/>
  <c r="D76" i="13"/>
  <c r="E76" i="13"/>
  <c r="F76" i="13"/>
  <c r="G76" i="13"/>
  <c r="H76" i="13"/>
  <c r="I76" i="13"/>
  <c r="J76" i="13"/>
  <c r="K76" i="13"/>
  <c r="D78" i="13"/>
  <c r="E78" i="13"/>
  <c r="F78" i="13"/>
  <c r="G78" i="13"/>
  <c r="H78" i="13"/>
  <c r="I78" i="13"/>
  <c r="J78" i="13"/>
  <c r="K78" i="13"/>
  <c r="D79" i="13"/>
  <c r="E79" i="13"/>
  <c r="F79" i="13"/>
  <c r="H79" i="13"/>
  <c r="I79" i="13"/>
  <c r="K79" i="13"/>
  <c r="D81" i="13"/>
  <c r="E81" i="13"/>
  <c r="F81" i="13"/>
  <c r="G81" i="13"/>
  <c r="H81" i="13"/>
  <c r="I81" i="13"/>
  <c r="J81" i="13"/>
  <c r="K81" i="13"/>
  <c r="D82" i="13"/>
  <c r="E82" i="13"/>
  <c r="F82" i="13"/>
  <c r="G82" i="13"/>
  <c r="H82" i="13"/>
  <c r="I82" i="13"/>
  <c r="J82" i="13"/>
  <c r="K82" i="13"/>
  <c r="D83" i="13"/>
  <c r="E83" i="13"/>
  <c r="F83" i="13"/>
  <c r="G83" i="13"/>
  <c r="H83" i="13"/>
  <c r="I83" i="13"/>
  <c r="J83" i="13"/>
  <c r="K83" i="13"/>
  <c r="D85" i="13"/>
  <c r="E85" i="13"/>
  <c r="F85" i="13"/>
  <c r="G85" i="13"/>
  <c r="H85" i="13"/>
  <c r="I85" i="13"/>
  <c r="J85" i="13"/>
  <c r="K85" i="13"/>
  <c r="D86" i="13"/>
  <c r="E86" i="13"/>
  <c r="F86" i="13"/>
  <c r="G86" i="13"/>
  <c r="H86" i="13"/>
  <c r="I86" i="13"/>
  <c r="J86" i="13"/>
  <c r="K86" i="13"/>
  <c r="F87" i="13"/>
  <c r="G87" i="13"/>
  <c r="H87" i="13"/>
  <c r="I87" i="13"/>
  <c r="J87" i="13"/>
  <c r="K87" i="13"/>
  <c r="E68" i="13"/>
  <c r="F68" i="13"/>
  <c r="G68" i="13"/>
  <c r="H68" i="13"/>
  <c r="I68" i="13"/>
  <c r="J68" i="13"/>
  <c r="K68" i="13"/>
  <c r="D68" i="13"/>
  <c r="K61" i="13"/>
  <c r="J61" i="13"/>
  <c r="I61" i="13"/>
  <c r="H61" i="13"/>
  <c r="G61" i="13"/>
  <c r="F61" i="13"/>
  <c r="E61" i="13"/>
  <c r="D61" i="13"/>
  <c r="K60" i="13"/>
  <c r="J60" i="13"/>
  <c r="I60" i="13"/>
  <c r="H60" i="13"/>
  <c r="G60" i="13"/>
  <c r="F60" i="13"/>
  <c r="E60" i="13"/>
  <c r="D60" i="13"/>
  <c r="K59" i="13"/>
  <c r="J59" i="13"/>
  <c r="I59" i="13"/>
  <c r="H59" i="13"/>
  <c r="G59" i="13"/>
  <c r="F59" i="13"/>
  <c r="E59" i="13"/>
  <c r="D59" i="13"/>
  <c r="K58" i="13"/>
  <c r="J58" i="13"/>
  <c r="I58" i="13"/>
  <c r="H58" i="13"/>
  <c r="G58" i="13"/>
  <c r="F58" i="13"/>
  <c r="E58" i="13"/>
  <c r="D58" i="13"/>
  <c r="K57" i="13"/>
  <c r="J57" i="13"/>
  <c r="I57" i="13"/>
  <c r="H57" i="13"/>
  <c r="G57" i="13"/>
  <c r="F57" i="13"/>
  <c r="E57" i="13"/>
  <c r="D57" i="13"/>
  <c r="K56" i="13"/>
  <c r="J56" i="13"/>
  <c r="I56" i="13"/>
  <c r="H56" i="13"/>
  <c r="G56" i="13"/>
  <c r="F56" i="13"/>
  <c r="E56" i="13"/>
  <c r="D56" i="13"/>
  <c r="K55" i="13"/>
  <c r="J55" i="13"/>
  <c r="I55" i="13"/>
  <c r="H55" i="13"/>
  <c r="G55" i="13"/>
  <c r="F55" i="13"/>
  <c r="E55" i="13"/>
  <c r="D55" i="13"/>
  <c r="K54" i="13"/>
  <c r="J54" i="13"/>
  <c r="I54" i="13"/>
  <c r="H54" i="13"/>
  <c r="G54" i="13"/>
  <c r="F54" i="13"/>
  <c r="E54" i="13"/>
  <c r="D54" i="13"/>
  <c r="K51" i="13"/>
  <c r="J51" i="13"/>
  <c r="I51" i="13"/>
  <c r="H51" i="13"/>
  <c r="G51" i="13"/>
  <c r="F51" i="13"/>
  <c r="E51" i="13"/>
  <c r="D51" i="13"/>
  <c r="K50" i="13"/>
  <c r="J50" i="13"/>
  <c r="I50" i="13"/>
  <c r="H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J46" i="13"/>
  <c r="I46" i="13"/>
  <c r="H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J44" i="13"/>
  <c r="K42" i="13"/>
  <c r="J42" i="13"/>
  <c r="I42" i="13"/>
  <c r="H42" i="13"/>
  <c r="G42" i="13"/>
  <c r="F42" i="13"/>
  <c r="E42" i="13"/>
  <c r="D42" i="13"/>
  <c r="K41" i="13"/>
  <c r="J41" i="13"/>
  <c r="I41" i="13"/>
  <c r="H41" i="13"/>
  <c r="G41" i="13"/>
  <c r="F41" i="13"/>
  <c r="E41" i="13"/>
  <c r="D41" i="13"/>
  <c r="K40" i="13"/>
  <c r="J40" i="13"/>
  <c r="I40" i="13"/>
  <c r="H40" i="13"/>
  <c r="G40" i="13"/>
  <c r="F40" i="13"/>
  <c r="E40" i="13"/>
  <c r="D40" i="13"/>
  <c r="K39" i="13"/>
  <c r="J39" i="13"/>
  <c r="I39" i="13"/>
  <c r="H39" i="13"/>
  <c r="G39" i="13"/>
  <c r="F39" i="13"/>
  <c r="E39" i="13"/>
  <c r="D39" i="13"/>
  <c r="K38" i="13"/>
  <c r="J38" i="13"/>
  <c r="I38" i="13"/>
  <c r="H38" i="13"/>
  <c r="G38" i="13"/>
  <c r="F38" i="13"/>
  <c r="E38" i="13"/>
  <c r="D38" i="13"/>
  <c r="K37" i="13"/>
  <c r="J37" i="13"/>
  <c r="I37" i="13"/>
  <c r="H37" i="13"/>
  <c r="G37" i="13"/>
  <c r="F37" i="13"/>
  <c r="E37" i="13"/>
  <c r="D37" i="13"/>
  <c r="K36" i="13"/>
  <c r="J36" i="13"/>
  <c r="I36" i="13"/>
  <c r="H36" i="13"/>
  <c r="G36" i="13"/>
  <c r="F36" i="13"/>
  <c r="E36" i="13"/>
  <c r="D36" i="13"/>
  <c r="K35" i="13"/>
  <c r="J35" i="13"/>
  <c r="I35" i="13"/>
  <c r="H35" i="13"/>
  <c r="G35" i="13"/>
  <c r="F35" i="13"/>
  <c r="E35" i="13"/>
  <c r="D35" i="13"/>
  <c r="K34" i="13"/>
  <c r="J34" i="13"/>
  <c r="I34" i="13"/>
  <c r="H34" i="13"/>
  <c r="G34" i="13"/>
  <c r="F34" i="13"/>
  <c r="E34" i="13"/>
  <c r="D34" i="13"/>
  <c r="K33" i="13"/>
  <c r="J33" i="13"/>
  <c r="I33" i="13"/>
  <c r="H33" i="13"/>
  <c r="G33" i="13"/>
  <c r="F33" i="13"/>
  <c r="E33" i="13"/>
  <c r="D33" i="13"/>
  <c r="K27" i="13"/>
  <c r="J27" i="13"/>
  <c r="I27" i="13"/>
  <c r="H27" i="13"/>
  <c r="G27" i="13"/>
  <c r="F27" i="13"/>
  <c r="E27" i="13"/>
  <c r="D27" i="13"/>
  <c r="K26" i="13"/>
  <c r="J26" i="13"/>
  <c r="I26" i="13"/>
  <c r="H26" i="13"/>
  <c r="G26" i="13"/>
  <c r="F26" i="13"/>
  <c r="E26" i="13"/>
  <c r="D26" i="13"/>
  <c r="K25" i="13"/>
  <c r="J25" i="13"/>
  <c r="I25" i="13"/>
  <c r="H25" i="13"/>
  <c r="G25" i="13"/>
  <c r="F25" i="13"/>
  <c r="E25" i="13"/>
  <c r="D25" i="13"/>
  <c r="K24" i="13"/>
  <c r="J24" i="13"/>
  <c r="I24" i="13"/>
  <c r="H24" i="13"/>
  <c r="G24" i="13"/>
  <c r="F24" i="13"/>
  <c r="E24" i="13"/>
  <c r="D24" i="13"/>
  <c r="K23" i="13"/>
  <c r="J23" i="13"/>
  <c r="I23" i="13"/>
  <c r="H23" i="13"/>
  <c r="G23" i="13"/>
  <c r="F23" i="13"/>
  <c r="E23" i="13"/>
  <c r="D23" i="13"/>
  <c r="K22" i="13"/>
  <c r="J22" i="13"/>
  <c r="I22" i="13"/>
  <c r="H22" i="13"/>
  <c r="G22" i="13"/>
  <c r="F22" i="13"/>
  <c r="E22" i="13"/>
  <c r="D22" i="13"/>
  <c r="K21" i="13"/>
  <c r="J21" i="13"/>
  <c r="I21" i="13"/>
  <c r="H21" i="13"/>
  <c r="G21" i="13"/>
  <c r="F21" i="13"/>
  <c r="E21" i="13"/>
  <c r="D21" i="13"/>
  <c r="K20" i="13"/>
  <c r="J20" i="13"/>
  <c r="I20" i="13"/>
  <c r="H20" i="13"/>
  <c r="G20" i="13"/>
  <c r="F20" i="13"/>
  <c r="E20" i="13"/>
  <c r="D20" i="13"/>
  <c r="D8" i="13"/>
  <c r="E8" i="13"/>
  <c r="F8" i="13"/>
  <c r="G8" i="13"/>
  <c r="H8" i="13"/>
  <c r="I8" i="13"/>
  <c r="J8" i="13"/>
  <c r="K8" i="13"/>
  <c r="D9" i="13"/>
  <c r="E9" i="13"/>
  <c r="F9" i="13"/>
  <c r="G9" i="13"/>
  <c r="H9" i="13"/>
  <c r="I9" i="13"/>
  <c r="J9" i="13"/>
  <c r="K9" i="13"/>
  <c r="D10" i="13"/>
  <c r="E10" i="13"/>
  <c r="F10" i="13"/>
  <c r="G10" i="13"/>
  <c r="H10" i="13"/>
  <c r="I10" i="13"/>
  <c r="J10" i="13"/>
  <c r="K10" i="13"/>
  <c r="D11" i="13"/>
  <c r="E11" i="13"/>
  <c r="F11" i="13"/>
  <c r="G11" i="13"/>
  <c r="H11" i="13"/>
  <c r="I11" i="13"/>
  <c r="J11" i="13"/>
  <c r="K11" i="13"/>
  <c r="D12" i="13"/>
  <c r="E12" i="13"/>
  <c r="F12" i="13"/>
  <c r="G12" i="13"/>
  <c r="H12" i="13"/>
  <c r="I12" i="13"/>
  <c r="J12" i="13"/>
  <c r="K12" i="13"/>
  <c r="D13" i="13"/>
  <c r="E13" i="13"/>
  <c r="F13" i="13"/>
  <c r="G13" i="13"/>
  <c r="H13" i="13"/>
  <c r="I13" i="13"/>
  <c r="J13" i="13"/>
  <c r="K13" i="13"/>
  <c r="D14" i="13"/>
  <c r="E14" i="13"/>
  <c r="F14" i="13"/>
  <c r="G14" i="13"/>
  <c r="H14" i="13"/>
  <c r="I14" i="13"/>
  <c r="J14" i="13"/>
  <c r="K14" i="13"/>
  <c r="D15" i="13"/>
  <c r="E15" i="13"/>
  <c r="F15" i="13"/>
  <c r="G15" i="13"/>
  <c r="H15" i="13"/>
  <c r="I15" i="13"/>
  <c r="J15" i="13"/>
  <c r="K15" i="13"/>
  <c r="D16" i="13"/>
  <c r="E16" i="13"/>
  <c r="F16" i="13"/>
  <c r="G16" i="13"/>
  <c r="H16" i="13"/>
  <c r="I16" i="13"/>
  <c r="J16" i="13"/>
  <c r="K16" i="13"/>
  <c r="D17" i="13"/>
  <c r="E17" i="13"/>
  <c r="F17" i="13"/>
  <c r="G17" i="13"/>
  <c r="H17" i="13"/>
  <c r="I17" i="13"/>
  <c r="J17" i="13"/>
  <c r="K17" i="13"/>
  <c r="D7" i="13"/>
  <c r="E7" i="13"/>
  <c r="F7" i="13"/>
  <c r="G7" i="13"/>
  <c r="H7" i="13"/>
  <c r="I7" i="13"/>
  <c r="J7" i="13"/>
  <c r="K7" i="13"/>
  <c r="AH21" i="8"/>
  <c r="AH31" i="15" l="1"/>
  <c r="AH32" i="15"/>
  <c r="AH29" i="15"/>
  <c r="AH34" i="15"/>
  <c r="AH28" i="15"/>
  <c r="AH30" i="15"/>
  <c r="AH35" i="15"/>
  <c r="AH33" i="15"/>
  <c r="K23" i="15"/>
  <c r="G23" i="15"/>
  <c r="K21" i="15"/>
  <c r="G21" i="15"/>
  <c r="K19" i="15"/>
  <c r="G19" i="15"/>
  <c r="K17" i="15"/>
  <c r="G17" i="15"/>
  <c r="K15" i="15"/>
  <c r="G15" i="15"/>
  <c r="K13" i="15"/>
  <c r="G13" i="15"/>
  <c r="K11" i="15"/>
  <c r="G11" i="15"/>
  <c r="K9" i="15"/>
  <c r="G9" i="15"/>
  <c r="K7" i="15"/>
  <c r="G7" i="15"/>
  <c r="K5" i="15"/>
  <c r="G5" i="15"/>
  <c r="K24" i="15"/>
  <c r="G24" i="15"/>
  <c r="K22" i="15"/>
  <c r="G22" i="15"/>
  <c r="K20" i="15"/>
  <c r="G20" i="15"/>
  <c r="K18" i="15"/>
  <c r="G18" i="15"/>
  <c r="K16" i="15"/>
  <c r="G16" i="15"/>
  <c r="K14" i="15"/>
  <c r="G14" i="15"/>
  <c r="K12" i="15"/>
  <c r="G12" i="15"/>
  <c r="K10" i="15"/>
  <c r="G10" i="15"/>
  <c r="K8" i="15"/>
  <c r="G8" i="15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68" i="14"/>
  <c r="G67" i="14"/>
  <c r="G66" i="14"/>
  <c r="G65" i="14"/>
  <c r="G64" i="14"/>
  <c r="G55" i="14"/>
  <c r="G54" i="14"/>
  <c r="G53" i="14"/>
  <c r="G63" i="14"/>
  <c r="G71" i="14"/>
  <c r="G70" i="14"/>
  <c r="G69" i="14"/>
  <c r="G74" i="14"/>
  <c r="G75" i="14"/>
  <c r="G76" i="14"/>
  <c r="G77" i="14"/>
  <c r="G78" i="14"/>
  <c r="G79" i="14"/>
  <c r="G80" i="14"/>
  <c r="G83" i="14"/>
  <c r="G84" i="14"/>
  <c r="G85" i="14"/>
  <c r="G86" i="14"/>
  <c r="G87" i="14"/>
  <c r="G88" i="14"/>
  <c r="G89" i="14"/>
  <c r="F27" i="15"/>
  <c r="D30" i="14"/>
  <c r="F30" i="14"/>
  <c r="D92" i="14"/>
  <c r="F92" i="14"/>
  <c r="I92" i="14"/>
  <c r="K92" i="14"/>
  <c r="H30" i="14"/>
  <c r="J30" i="14"/>
  <c r="E92" i="14"/>
  <c r="H92" i="14"/>
  <c r="J92" i="14"/>
  <c r="G58" i="14"/>
  <c r="AH39" i="8"/>
  <c r="AG12" i="8"/>
  <c r="AG14" i="8" s="1"/>
  <c r="AG39" i="8"/>
  <c r="K82" i="2"/>
  <c r="K73" i="2"/>
  <c r="K61" i="2"/>
  <c r="K43" i="2"/>
  <c r="K30" i="2"/>
  <c r="K12" i="2"/>
  <c r="G27" i="15" l="1"/>
  <c r="F40" i="15"/>
  <c r="K14" i="2"/>
  <c r="K14" i="14" s="1"/>
  <c r="K12" i="14"/>
  <c r="G73" i="14"/>
  <c r="G82" i="14"/>
  <c r="G62" i="14"/>
  <c r="G61" i="14" s="1"/>
  <c r="G30" i="14"/>
  <c r="AG17" i="8"/>
  <c r="K92" i="2"/>
  <c r="K55" i="2"/>
  <c r="K17" i="2"/>
  <c r="K17" i="14" s="1"/>
  <c r="K21" i="2"/>
  <c r="K21" i="14" s="1"/>
  <c r="G40" i="15" l="1"/>
  <c r="H27" i="15"/>
  <c r="G92" i="14"/>
  <c r="AG21" i="8"/>
  <c r="I27" i="15" l="1"/>
  <c r="H40" i="15"/>
  <c r="I40" i="15" l="1"/>
  <c r="J27" i="15"/>
  <c r="K109" i="11"/>
  <c r="K27" i="15" l="1"/>
  <c r="J40" i="15"/>
  <c r="AF39" i="8"/>
  <c r="K40" i="15" l="1"/>
  <c r="L27" i="15"/>
  <c r="K32" i="1"/>
  <c r="K32" i="13" s="1"/>
  <c r="K6" i="1"/>
  <c r="K6" i="13" s="1"/>
  <c r="M27" i="15" l="1"/>
  <c r="L40" i="15"/>
  <c r="AC6" i="12"/>
  <c r="N77" i="12"/>
  <c r="N70" i="12"/>
  <c r="N62" i="12"/>
  <c r="N42" i="12"/>
  <c r="N32" i="12"/>
  <c r="N11" i="12"/>
  <c r="R117" i="11"/>
  <c r="M40" i="15" l="1"/>
  <c r="N27" i="15"/>
  <c r="K19" i="1"/>
  <c r="K19" i="13" s="1"/>
  <c r="K29" i="13" s="1"/>
  <c r="K44" i="1"/>
  <c r="K44" i="13" s="1"/>
  <c r="K77" i="1"/>
  <c r="K53" i="1"/>
  <c r="K53" i="13" s="1"/>
  <c r="K31" i="1"/>
  <c r="K31" i="13" s="1"/>
  <c r="K63" i="13" l="1"/>
  <c r="K79" i="1"/>
  <c r="K75" i="13"/>
  <c r="O27" i="15"/>
  <c r="P27" i="15" s="1"/>
  <c r="Q27" i="15" s="1"/>
  <c r="R27" i="15" s="1"/>
  <c r="N40" i="15"/>
  <c r="O40" i="15" s="1"/>
  <c r="P40" i="15" s="1"/>
  <c r="Q40" i="15" s="1"/>
  <c r="R40" i="15" s="1"/>
  <c r="K65" i="1"/>
  <c r="K29" i="1"/>
  <c r="AD39" i="8"/>
  <c r="J82" i="2"/>
  <c r="J73" i="2"/>
  <c r="J62" i="2"/>
  <c r="J61" i="2" s="1"/>
  <c r="J43" i="2"/>
  <c r="J30" i="2"/>
  <c r="J12" i="2"/>
  <c r="J12" i="14" s="1"/>
  <c r="AB39" i="8"/>
  <c r="J53" i="1"/>
  <c r="J53" i="13" s="1"/>
  <c r="M62" i="12"/>
  <c r="K82" i="1" l="1"/>
  <c r="K77" i="13"/>
  <c r="J55" i="2"/>
  <c r="J92" i="2"/>
  <c r="J14" i="2"/>
  <c r="J14" i="14" s="1"/>
  <c r="AB6" i="12"/>
  <c r="M11" i="12"/>
  <c r="M32" i="12"/>
  <c r="M42" i="12"/>
  <c r="M77" i="12"/>
  <c r="M70" i="12"/>
  <c r="K86" i="1" l="1"/>
  <c r="K84" i="13" s="1"/>
  <c r="K80" i="13"/>
  <c r="J17" i="2"/>
  <c r="J17" i="14" s="1"/>
  <c r="AA24" i="8"/>
  <c r="AA24" i="15" s="1"/>
  <c r="AA23" i="8"/>
  <c r="AA23" i="15" s="1"/>
  <c r="AA22" i="8"/>
  <c r="AA22" i="15" s="1"/>
  <c r="AA20" i="8"/>
  <c r="AA20" i="15" s="1"/>
  <c r="AA19" i="8"/>
  <c r="AA19" i="15" s="1"/>
  <c r="AA18" i="8"/>
  <c r="AA18" i="15" s="1"/>
  <c r="AA15" i="8"/>
  <c r="AA15" i="15" s="1"/>
  <c r="AA13" i="8"/>
  <c r="AA13" i="15" s="1"/>
  <c r="AA11" i="8"/>
  <c r="AA11" i="15" s="1"/>
  <c r="AA10" i="8"/>
  <c r="AA10" i="15" s="1"/>
  <c r="AA9" i="8"/>
  <c r="AA9" i="15" s="1"/>
  <c r="AA8" i="8"/>
  <c r="AA8" i="15" s="1"/>
  <c r="AA7" i="8"/>
  <c r="AA7" i="15" s="1"/>
  <c r="AA6" i="8"/>
  <c r="AA6" i="15" s="1"/>
  <c r="AA5" i="8"/>
  <c r="AA5" i="15" s="1"/>
  <c r="J21" i="2" l="1"/>
  <c r="J21" i="14" s="1"/>
  <c r="J81" i="1"/>
  <c r="J32" i="1"/>
  <c r="J32" i="13" s="1"/>
  <c r="J19" i="1"/>
  <c r="J19" i="13" s="1"/>
  <c r="J6" i="1"/>
  <c r="J6" i="13" s="1"/>
  <c r="J29" i="13" l="1"/>
  <c r="AA16" i="8"/>
  <c r="AA16" i="15" s="1"/>
  <c r="J79" i="13"/>
  <c r="J31" i="1"/>
  <c r="J31" i="13" s="1"/>
  <c r="J63" i="13" s="1"/>
  <c r="N111" i="11"/>
  <c r="N32" i="11"/>
  <c r="N52" i="11" s="1"/>
  <c r="AA39" i="8"/>
  <c r="J77" i="1"/>
  <c r="J75" i="13" s="1"/>
  <c r="J65" i="1"/>
  <c r="J29" i="1"/>
  <c r="AA12" i="8" l="1"/>
  <c r="AA12" i="15" s="1"/>
  <c r="J79" i="1"/>
  <c r="J77" i="13" s="1"/>
  <c r="AA14" i="8" l="1"/>
  <c r="AA14" i="15" s="1"/>
  <c r="J82" i="1"/>
  <c r="J80" i="13" s="1"/>
  <c r="AA17" i="8" l="1"/>
  <c r="AA17" i="15" s="1"/>
  <c r="J86" i="1"/>
  <c r="AA21" i="8" l="1"/>
  <c r="AA21" i="15" s="1"/>
  <c r="J84" i="13"/>
  <c r="I82" i="2"/>
  <c r="I73" i="2"/>
  <c r="I62" i="2"/>
  <c r="I61" i="2" s="1"/>
  <c r="I43" i="2"/>
  <c r="I30" i="2"/>
  <c r="I12" i="2"/>
  <c r="I12" i="14" s="1"/>
  <c r="I55" i="2" l="1"/>
  <c r="I92" i="2"/>
  <c r="I14" i="2"/>
  <c r="I14" i="14" s="1"/>
  <c r="X39" i="8"/>
  <c r="I77" i="1"/>
  <c r="I53" i="1"/>
  <c r="I53" i="13" s="1"/>
  <c r="I44" i="1"/>
  <c r="I44" i="13" s="1"/>
  <c r="I32" i="1"/>
  <c r="I32" i="13" s="1"/>
  <c r="I19" i="1"/>
  <c r="I19" i="13" s="1"/>
  <c r="I6" i="1"/>
  <c r="I6" i="13" s="1"/>
  <c r="I29" i="13" l="1"/>
  <c r="I79" i="1"/>
  <c r="I75" i="13"/>
  <c r="I31" i="1"/>
  <c r="I31" i="13" s="1"/>
  <c r="I63" i="13" s="1"/>
  <c r="I17" i="2"/>
  <c r="I17" i="14" s="1"/>
  <c r="I65" i="1"/>
  <c r="I29" i="1"/>
  <c r="I82" i="1" l="1"/>
  <c r="I77" i="13"/>
  <c r="I21" i="2"/>
  <c r="I21" i="14" s="1"/>
  <c r="AA6" i="12"/>
  <c r="L32" i="12"/>
  <c r="K32" i="12"/>
  <c r="L65" i="12"/>
  <c r="M65" i="12" s="1"/>
  <c r="N65" i="12" s="1"/>
  <c r="O65" i="12" s="1"/>
  <c r="L77" i="12"/>
  <c r="L70" i="12"/>
  <c r="L62" i="12"/>
  <c r="L42" i="12"/>
  <c r="L11" i="12"/>
  <c r="I86" i="1" l="1"/>
  <c r="I84" i="13" s="1"/>
  <c r="I80" i="13"/>
  <c r="W39" i="8"/>
  <c r="V39" i="8"/>
  <c r="U49" i="8"/>
  <c r="U45" i="8"/>
  <c r="U31" i="8"/>
  <c r="U12" i="8"/>
  <c r="U14" i="8" s="1"/>
  <c r="U17" i="8" s="1"/>
  <c r="U21" i="8" s="1"/>
  <c r="H62" i="2"/>
  <c r="H61" i="2" s="1"/>
  <c r="U41" i="8" s="1"/>
  <c r="H82" i="2"/>
  <c r="U47" i="8" s="1"/>
  <c r="H73" i="2"/>
  <c r="U43" i="8" s="1"/>
  <c r="H30" i="2"/>
  <c r="U28" i="8" s="1"/>
  <c r="H43" i="2"/>
  <c r="U29" i="8" s="1"/>
  <c r="H12" i="2"/>
  <c r="H12" i="14" s="1"/>
  <c r="G12" i="2"/>
  <c r="G12" i="14" s="1"/>
  <c r="H14" i="2" l="1"/>
  <c r="H14" i="14" s="1"/>
  <c r="H92" i="2"/>
  <c r="U52" i="8" s="1"/>
  <c r="H55" i="2"/>
  <c r="U35" i="8" s="1"/>
  <c r="H17" i="2" l="1"/>
  <c r="H17" i="14" s="1"/>
  <c r="T52" i="8"/>
  <c r="S49" i="8"/>
  <c r="S45" i="8"/>
  <c r="S31" i="8"/>
  <c r="H21" i="2" l="1"/>
  <c r="H21" i="14" s="1"/>
  <c r="H77" i="1"/>
  <c r="H75" i="13" s="1"/>
  <c r="H53" i="1"/>
  <c r="H53" i="13" s="1"/>
  <c r="H44" i="1"/>
  <c r="H44" i="13" s="1"/>
  <c r="H32" i="1"/>
  <c r="H32" i="13" s="1"/>
  <c r="H19" i="1"/>
  <c r="H19" i="13" s="1"/>
  <c r="S43" i="8" l="1"/>
  <c r="S29" i="8"/>
  <c r="S47" i="8"/>
  <c r="H31" i="1"/>
  <c r="H31" i="13" s="1"/>
  <c r="H63" i="13" s="1"/>
  <c r="S41" i="8" l="1"/>
  <c r="H65" i="1"/>
  <c r="S52" i="8" s="1"/>
  <c r="H6" i="1" l="1"/>
  <c r="H6" i="13" s="1"/>
  <c r="H29" i="13" s="1"/>
  <c r="Z6" i="12"/>
  <c r="K77" i="12"/>
  <c r="K70" i="12"/>
  <c r="K62" i="12"/>
  <c r="K42" i="12"/>
  <c r="K11" i="12"/>
  <c r="S28" i="8" l="1"/>
  <c r="H79" i="1"/>
  <c r="H77" i="13" s="1"/>
  <c r="H29" i="1"/>
  <c r="S35" i="8" s="1"/>
  <c r="I122" i="11"/>
  <c r="H122" i="11"/>
  <c r="H82" i="1" l="1"/>
  <c r="H80" i="13" s="1"/>
  <c r="F64" i="7"/>
  <c r="F63" i="7"/>
  <c r="F57" i="7"/>
  <c r="F56" i="7"/>
  <c r="F50" i="7"/>
  <c r="F49" i="7"/>
  <c r="F43" i="7"/>
  <c r="F42" i="7"/>
  <c r="F36" i="7"/>
  <c r="F35" i="7"/>
  <c r="F29" i="7"/>
  <c r="F28" i="7"/>
  <c r="H124" i="11" l="1"/>
  <c r="H123" i="11"/>
  <c r="H86" i="1"/>
  <c r="H84" i="13" s="1"/>
  <c r="I123" i="11"/>
  <c r="I124" i="11"/>
  <c r="J122" i="11" l="1"/>
  <c r="J124" i="11" l="1"/>
  <c r="J123" i="11"/>
  <c r="F65" i="7" l="1"/>
  <c r="F58" i="7"/>
  <c r="F44" i="7"/>
  <c r="F37" i="7"/>
  <c r="F30" i="7"/>
  <c r="R12" i="8"/>
  <c r="R14" i="8" s="1"/>
  <c r="R17" i="8" s="1"/>
  <c r="R21" i="8" s="1"/>
  <c r="F51" i="7" l="1"/>
  <c r="P12" i="8" l="1"/>
  <c r="P24" i="8" s="1"/>
  <c r="P14" i="8" l="1"/>
  <c r="P17" i="8" s="1"/>
  <c r="P21" i="8" s="1"/>
  <c r="Q12" i="8"/>
  <c r="Q24" i="8" s="1"/>
  <c r="Q14" i="8" l="1"/>
  <c r="Q17" i="8" l="1"/>
  <c r="Q21" i="8" l="1"/>
  <c r="G82" i="2" l="1"/>
  <c r="G73" i="2"/>
  <c r="G61" i="2"/>
  <c r="G43" i="2"/>
  <c r="G30" i="2"/>
  <c r="G24" i="2"/>
  <c r="G24" i="14" s="1"/>
  <c r="G55" i="2" l="1"/>
  <c r="G92" i="2"/>
  <c r="G14" i="2"/>
  <c r="G14" i="14" s="1"/>
  <c r="O24" i="8"/>
  <c r="O24" i="15" s="1"/>
  <c r="O23" i="8"/>
  <c r="O23" i="15" s="1"/>
  <c r="O22" i="8"/>
  <c r="O22" i="15" s="1"/>
  <c r="O20" i="8"/>
  <c r="O20" i="15" s="1"/>
  <c r="O19" i="8"/>
  <c r="O19" i="15" s="1"/>
  <c r="O18" i="8"/>
  <c r="O18" i="15" s="1"/>
  <c r="O15" i="8"/>
  <c r="O15" i="15" s="1"/>
  <c r="O13" i="8"/>
  <c r="O13" i="15" s="1"/>
  <c r="O7" i="8"/>
  <c r="O7" i="15" s="1"/>
  <c r="O8" i="8"/>
  <c r="O8" i="15" s="1"/>
  <c r="O9" i="8"/>
  <c r="O9" i="15" s="1"/>
  <c r="O6" i="8"/>
  <c r="O6" i="15" s="1"/>
  <c r="G17" i="2" l="1"/>
  <c r="G17" i="14" s="1"/>
  <c r="Y6" i="12"/>
  <c r="E32" i="12"/>
  <c r="D32" i="12"/>
  <c r="J32" i="12"/>
  <c r="D62" i="12"/>
  <c r="I62" i="12"/>
  <c r="H62" i="12"/>
  <c r="G62" i="12"/>
  <c r="F62" i="12"/>
  <c r="E62" i="12"/>
  <c r="J62" i="12"/>
  <c r="G21" i="2" l="1"/>
  <c r="G21" i="14" s="1"/>
  <c r="I77" i="12" l="1"/>
  <c r="F77" i="12"/>
  <c r="E77" i="12"/>
  <c r="J75" i="12"/>
  <c r="J73" i="12"/>
  <c r="G73" i="12"/>
  <c r="G77" i="12" s="1"/>
  <c r="E72" i="12"/>
  <c r="F72" i="12" s="1"/>
  <c r="G72" i="12" s="1"/>
  <c r="H72" i="12" s="1"/>
  <c r="I72" i="12" s="1"/>
  <c r="J72" i="12" s="1"/>
  <c r="K72" i="12" s="1"/>
  <c r="L72" i="12" s="1"/>
  <c r="M72" i="12" s="1"/>
  <c r="N72" i="12" s="1"/>
  <c r="O72" i="12" s="1"/>
  <c r="J69" i="12"/>
  <c r="H69" i="12"/>
  <c r="G69" i="12"/>
  <c r="G70" i="12" s="1"/>
  <c r="F69" i="12"/>
  <c r="E65" i="12"/>
  <c r="F65" i="12" s="1"/>
  <c r="G65" i="12" s="1"/>
  <c r="H65" i="12" s="1"/>
  <c r="I65" i="12" s="1"/>
  <c r="J65" i="12" s="1"/>
  <c r="E44" i="12"/>
  <c r="F44" i="12" s="1"/>
  <c r="G44" i="12" s="1"/>
  <c r="H44" i="12" s="1"/>
  <c r="I44" i="12" s="1"/>
  <c r="J44" i="12" s="1"/>
  <c r="K44" i="12" s="1"/>
  <c r="L44" i="12" s="1"/>
  <c r="M44" i="12" s="1"/>
  <c r="N44" i="12" s="1"/>
  <c r="O44" i="12" s="1"/>
  <c r="J42" i="12"/>
  <c r="F42" i="12"/>
  <c r="E42" i="12"/>
  <c r="D42" i="12"/>
  <c r="I42" i="12"/>
  <c r="H42" i="12"/>
  <c r="G42" i="12"/>
  <c r="E34" i="12"/>
  <c r="F34" i="12" s="1"/>
  <c r="G34" i="12" s="1"/>
  <c r="H34" i="12" s="1"/>
  <c r="I34" i="12" s="1"/>
  <c r="J34" i="12" s="1"/>
  <c r="K34" i="12" s="1"/>
  <c r="L34" i="12" s="1"/>
  <c r="M34" i="12" s="1"/>
  <c r="N34" i="12" s="1"/>
  <c r="O34" i="12" s="1"/>
  <c r="I24" i="12"/>
  <c r="I32" i="12" s="1"/>
  <c r="H23" i="12"/>
  <c r="H32" i="12" s="1"/>
  <c r="G32" i="12"/>
  <c r="F32" i="12"/>
  <c r="T14" i="12"/>
  <c r="U14" i="12" s="1"/>
  <c r="V14" i="12" s="1"/>
  <c r="W14" i="12" s="1"/>
  <c r="X14" i="12" s="1"/>
  <c r="Y14" i="12" s="1"/>
  <c r="Z14" i="12" s="1"/>
  <c r="AA14" i="12" s="1"/>
  <c r="AB14" i="12" s="1"/>
  <c r="E14" i="12"/>
  <c r="F14" i="12" s="1"/>
  <c r="G14" i="12" s="1"/>
  <c r="H14" i="12" s="1"/>
  <c r="I14" i="12" s="1"/>
  <c r="J14" i="12" s="1"/>
  <c r="K14" i="12" s="1"/>
  <c r="L14" i="12" s="1"/>
  <c r="M14" i="12" s="1"/>
  <c r="N14" i="12" s="1"/>
  <c r="O14" i="12" s="1"/>
  <c r="J11" i="12"/>
  <c r="H11" i="12"/>
  <c r="G11" i="12"/>
  <c r="F11" i="12"/>
  <c r="E11" i="12"/>
  <c r="D11" i="12"/>
  <c r="I11" i="12"/>
  <c r="X6" i="12"/>
  <c r="W6" i="12"/>
  <c r="U6" i="12"/>
  <c r="T6" i="12"/>
  <c r="S6" i="12"/>
  <c r="V5" i="12"/>
  <c r="V6" i="12" s="1"/>
  <c r="T3" i="12"/>
  <c r="U3" i="12" s="1"/>
  <c r="V3" i="12" s="1"/>
  <c r="W3" i="12" s="1"/>
  <c r="X3" i="12" s="1"/>
  <c r="Y3" i="12" s="1"/>
  <c r="Z3" i="12" s="1"/>
  <c r="AA3" i="12" s="1"/>
  <c r="AB3" i="12" s="1"/>
  <c r="E3" i="12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J70" i="12" l="1"/>
  <c r="I69" i="12"/>
  <c r="H73" i="12"/>
  <c r="H77" i="12" s="1"/>
  <c r="J77" i="12"/>
  <c r="H70" i="12"/>
  <c r="I70" i="12" l="1"/>
  <c r="G81" i="1" l="1"/>
  <c r="G79" i="13" s="1"/>
  <c r="G77" i="1"/>
  <c r="G75" i="13" s="1"/>
  <c r="G53" i="1"/>
  <c r="G53" i="13" s="1"/>
  <c r="G44" i="1"/>
  <c r="G44" i="13" s="1"/>
  <c r="G32" i="1"/>
  <c r="G32" i="13" s="1"/>
  <c r="G19" i="1"/>
  <c r="G19" i="13" s="1"/>
  <c r="G6" i="1"/>
  <c r="G6" i="13" s="1"/>
  <c r="G29" i="13" l="1"/>
  <c r="G31" i="1"/>
  <c r="G31" i="13" s="1"/>
  <c r="G63" i="13" s="1"/>
  <c r="G29" i="1"/>
  <c r="G79" i="1"/>
  <c r="G77" i="13" s="1"/>
  <c r="O12" i="8"/>
  <c r="O12" i="15" s="1"/>
  <c r="G65" i="1"/>
  <c r="G122" i="11"/>
  <c r="G129" i="11" s="1"/>
  <c r="G123" i="11" l="1"/>
  <c r="G130" i="11" s="1"/>
  <c r="O14" i="8"/>
  <c r="G82" i="1"/>
  <c r="G80" i="13" s="1"/>
  <c r="G124" i="11"/>
  <c r="G131" i="11" s="1"/>
  <c r="H159" i="11"/>
  <c r="H158" i="11"/>
  <c r="H157" i="11"/>
  <c r="H156" i="11"/>
  <c r="H155" i="11"/>
  <c r="O17" i="8" l="1"/>
  <c r="O17" i="15" s="1"/>
  <c r="O14" i="15"/>
  <c r="G86" i="1"/>
  <c r="G84" i="13" s="1"/>
  <c r="O21" i="8" l="1"/>
  <c r="O21" i="15" s="1"/>
  <c r="E64" i="7"/>
  <c r="E65" i="7" s="1"/>
  <c r="E63" i="7"/>
  <c r="E57" i="7"/>
  <c r="E58" i="7" s="1"/>
  <c r="E56" i="7"/>
  <c r="E50" i="7"/>
  <c r="E49" i="7"/>
  <c r="E51" i="7" s="1"/>
  <c r="E43" i="7"/>
  <c r="E42" i="7"/>
  <c r="E44" i="7" s="1"/>
  <c r="E37" i="7"/>
  <c r="E36" i="7"/>
  <c r="E35" i="7"/>
  <c r="E29" i="7"/>
  <c r="E30" i="7" s="1"/>
  <c r="E28" i="7"/>
  <c r="D23" i="7"/>
  <c r="D16" i="7"/>
  <c r="D9" i="7"/>
  <c r="D29" i="7" l="1"/>
  <c r="D58" i="7" l="1"/>
  <c r="C58" i="7"/>
  <c r="D57" i="7"/>
  <c r="C57" i="7"/>
  <c r="D56" i="7"/>
  <c r="C56" i="7"/>
  <c r="D51" i="7"/>
  <c r="C51" i="7"/>
  <c r="D50" i="7"/>
  <c r="C50" i="7"/>
  <c r="D49" i="7"/>
  <c r="C49" i="7"/>
  <c r="D44" i="7"/>
  <c r="C44" i="7"/>
  <c r="D43" i="7"/>
  <c r="C43" i="7"/>
  <c r="D42" i="7"/>
  <c r="C42" i="7"/>
  <c r="D37" i="7"/>
  <c r="C37" i="7"/>
  <c r="D36" i="7"/>
  <c r="C36" i="7"/>
  <c r="D35" i="7"/>
  <c r="C35" i="7"/>
  <c r="C30" i="7"/>
  <c r="C29" i="7"/>
  <c r="C28" i="7"/>
  <c r="F166" i="11"/>
  <c r="F173" i="11" s="1"/>
  <c r="E166" i="11"/>
  <c r="F165" i="11"/>
  <c r="E165" i="11"/>
  <c r="F164" i="11"/>
  <c r="E164" i="11"/>
  <c r="F163" i="11"/>
  <c r="E163" i="11"/>
  <c r="F162" i="11"/>
  <c r="F169" i="11" s="1"/>
  <c r="E162" i="11"/>
  <c r="F160" i="11"/>
  <c r="F167" i="11" s="1"/>
  <c r="F174" i="11" s="1"/>
  <c r="E160" i="11"/>
  <c r="H160" i="11" s="1"/>
  <c r="F172" i="11" l="1"/>
  <c r="D64" i="7"/>
  <c r="D71" i="7" s="1"/>
  <c r="E170" i="11"/>
  <c r="H163" i="11"/>
  <c r="F171" i="11"/>
  <c r="E169" i="11"/>
  <c r="H169" i="11" s="1"/>
  <c r="H162" i="11"/>
  <c r="E173" i="11"/>
  <c r="H166" i="11"/>
  <c r="E123" i="11"/>
  <c r="E130" i="11" s="1"/>
  <c r="E171" i="11"/>
  <c r="H164" i="11"/>
  <c r="E172" i="11"/>
  <c r="H165" i="11"/>
  <c r="F122" i="11"/>
  <c r="F129" i="11" s="1"/>
  <c r="G173" i="11"/>
  <c r="G169" i="11"/>
  <c r="G170" i="11"/>
  <c r="D123" i="11"/>
  <c r="D130" i="11" s="1"/>
  <c r="G172" i="11"/>
  <c r="F170" i="11"/>
  <c r="G171" i="11"/>
  <c r="C63" i="7"/>
  <c r="C70" i="7" s="1"/>
  <c r="C64" i="7"/>
  <c r="C71" i="7" s="1"/>
  <c r="C65" i="7"/>
  <c r="C72" i="7" s="1"/>
  <c r="D63" i="7"/>
  <c r="D70" i="7" s="1"/>
  <c r="D65" i="7"/>
  <c r="D72" i="7" s="1"/>
  <c r="G168" i="11"/>
  <c r="F168" i="11"/>
  <c r="E161" i="11"/>
  <c r="H161" i="11" s="1"/>
  <c r="E167" i="11"/>
  <c r="H167" i="11" s="1"/>
  <c r="G174" i="11"/>
  <c r="F161" i="11"/>
  <c r="G161" i="11"/>
  <c r="H170" i="11" l="1"/>
  <c r="H171" i="11"/>
  <c r="H173" i="11"/>
  <c r="H172" i="11"/>
  <c r="E124" i="11"/>
  <c r="E131" i="11" s="1"/>
  <c r="F124" i="11"/>
  <c r="D124" i="11"/>
  <c r="D131" i="11" s="1"/>
  <c r="E168" i="11"/>
  <c r="H168" i="11" s="1"/>
  <c r="F123" i="11"/>
  <c r="F130" i="11" s="1"/>
  <c r="F175" i="11"/>
  <c r="D122" i="11"/>
  <c r="D129" i="11" s="1"/>
  <c r="G175" i="11"/>
  <c r="E122" i="11"/>
  <c r="E129" i="11" s="1"/>
  <c r="E174" i="11"/>
  <c r="H174" i="11" s="1"/>
  <c r="O35" i="8"/>
  <c r="E175" i="11" l="1"/>
  <c r="H175" i="11" s="1"/>
  <c r="F131" i="11"/>
  <c r="M35" i="8" l="1"/>
  <c r="L35" i="8"/>
  <c r="K35" i="8"/>
  <c r="J35" i="8"/>
  <c r="I35" i="8"/>
  <c r="H35" i="8"/>
  <c r="G35" i="8"/>
  <c r="F35" i="8"/>
  <c r="E35" i="8"/>
  <c r="D35" i="8"/>
  <c r="L52" i="8" l="1"/>
  <c r="H52" i="8"/>
  <c r="G52" i="8"/>
  <c r="K52" i="8"/>
  <c r="D52" i="8"/>
  <c r="F52" i="8"/>
  <c r="J52" i="8"/>
  <c r="E52" i="8"/>
  <c r="I52" i="8"/>
  <c r="M52" i="8"/>
  <c r="F43" i="2" l="1"/>
  <c r="F30" i="2"/>
  <c r="F82" i="2"/>
  <c r="F73" i="2"/>
  <c r="F62" i="2"/>
  <c r="F61" i="2" s="1"/>
  <c r="F12" i="2"/>
  <c r="F12" i="14" s="1"/>
  <c r="F24" i="2" l="1"/>
  <c r="F24" i="14" s="1"/>
  <c r="F55" i="2"/>
  <c r="F92" i="2"/>
  <c r="F14" i="2"/>
  <c r="F14" i="14" s="1"/>
  <c r="F17" i="2" l="1"/>
  <c r="F17" i="14" s="1"/>
  <c r="F21" i="2" l="1"/>
  <c r="F21" i="14" s="1"/>
  <c r="E16" i="5" l="1"/>
  <c r="E15" i="5"/>
  <c r="E14" i="5"/>
  <c r="E12" i="5"/>
  <c r="E10" i="5"/>
  <c r="E17" i="5" s="1"/>
  <c r="F53" i="1"/>
  <c r="F53" i="13" s="1"/>
  <c r="F44" i="1"/>
  <c r="F44" i="13" s="1"/>
  <c r="F32" i="1" l="1"/>
  <c r="F32" i="13" s="1"/>
  <c r="F19" i="1"/>
  <c r="F19" i="13" s="1"/>
  <c r="F6" i="1"/>
  <c r="F6" i="13" s="1"/>
  <c r="F29" i="13" l="1"/>
  <c r="F31" i="1"/>
  <c r="F31" i="13" s="1"/>
  <c r="F63" i="13" s="1"/>
  <c r="F77" i="1"/>
  <c r="F75" i="13" s="1"/>
  <c r="F79" i="1" l="1"/>
  <c r="F77" i="13" s="1"/>
  <c r="E24" i="5"/>
  <c r="E18" i="5"/>
  <c r="E23" i="5"/>
  <c r="E22" i="5"/>
  <c r="E21" i="5"/>
  <c r="E20" i="5"/>
  <c r="E13" i="5"/>
  <c r="E19" i="5"/>
  <c r="F10" i="5"/>
  <c r="F17" i="5" s="1"/>
  <c r="F12" i="5"/>
  <c r="F13" i="5"/>
  <c r="F16" i="5"/>
  <c r="H16" i="5" s="1"/>
  <c r="F15" i="5"/>
  <c r="H15" i="5"/>
  <c r="F14" i="5"/>
  <c r="H14" i="5"/>
  <c r="H13" i="5"/>
  <c r="E11" i="5"/>
  <c r="H9" i="5"/>
  <c r="F65" i="1"/>
  <c r="F29" i="1"/>
  <c r="F82" i="1" l="1"/>
  <c r="F80" i="13" s="1"/>
  <c r="E25" i="5"/>
  <c r="H12" i="5"/>
  <c r="H10" i="5"/>
  <c r="F23" i="5"/>
  <c r="H23" i="5" s="1"/>
  <c r="G24" i="5"/>
  <c r="H8" i="5"/>
  <c r="G21" i="5"/>
  <c r="H6" i="5"/>
  <c r="H5" i="5"/>
  <c r="H17" i="5"/>
  <c r="D30" i="2"/>
  <c r="D43" i="2"/>
  <c r="D82" i="2"/>
  <c r="D73" i="2"/>
  <c r="D62" i="2"/>
  <c r="D61" i="2" s="1"/>
  <c r="E82" i="2"/>
  <c r="E73" i="2"/>
  <c r="E62" i="2"/>
  <c r="E61" i="2" s="1"/>
  <c r="E43" i="2"/>
  <c r="E30" i="2"/>
  <c r="D12" i="2"/>
  <c r="D12" i="14" s="1"/>
  <c r="D77" i="1"/>
  <c r="D75" i="13" s="1"/>
  <c r="E12" i="2"/>
  <c r="E12" i="14" s="1"/>
  <c r="E77" i="1"/>
  <c r="E75" i="13" s="1"/>
  <c r="D6" i="1"/>
  <c r="D6" i="13" s="1"/>
  <c r="D32" i="1"/>
  <c r="D32" i="13" s="1"/>
  <c r="D53" i="1"/>
  <c r="D53" i="13" s="1"/>
  <c r="E53" i="1"/>
  <c r="E53" i="13" s="1"/>
  <c r="E44" i="1"/>
  <c r="E44" i="13" s="1"/>
  <c r="D44" i="1"/>
  <c r="D44" i="13" s="1"/>
  <c r="E32" i="1"/>
  <c r="E32" i="13" s="1"/>
  <c r="E19" i="1"/>
  <c r="E19" i="13" s="1"/>
  <c r="D19" i="1"/>
  <c r="D19" i="13" s="1"/>
  <c r="E6" i="1"/>
  <c r="E6" i="13" s="1"/>
  <c r="E31" i="1" l="1"/>
  <c r="E31" i="13" s="1"/>
  <c r="E63" i="13" s="1"/>
  <c r="D31" i="1"/>
  <c r="D31" i="13" s="1"/>
  <c r="D63" i="13" s="1"/>
  <c r="D89" i="1"/>
  <c r="D87" i="13" s="1"/>
  <c r="F86" i="1"/>
  <c r="F84" i="13" s="1"/>
  <c r="E29" i="1"/>
  <c r="G23" i="5"/>
  <c r="G22" i="5"/>
  <c r="D79" i="1"/>
  <c r="D77" i="13" s="1"/>
  <c r="G20" i="5"/>
  <c r="G11" i="5"/>
  <c r="E92" i="2"/>
  <c r="D92" i="2"/>
  <c r="E14" i="2"/>
  <c r="E14" i="14" s="1"/>
  <c r="E55" i="2"/>
  <c r="D55" i="2"/>
  <c r="E24" i="2"/>
  <c r="E24" i="14" s="1"/>
  <c r="F21" i="5"/>
  <c r="H21" i="5" s="1"/>
  <c r="H7" i="5"/>
  <c r="G19" i="5"/>
  <c r="F22" i="5"/>
  <c r="H22" i="5" s="1"/>
  <c r="F11" i="5"/>
  <c r="D29" i="1"/>
  <c r="D65" i="1"/>
  <c r="E65" i="1"/>
  <c r="D14" i="2"/>
  <c r="D14" i="14" s="1"/>
  <c r="D24" i="2"/>
  <c r="D24" i="14" s="1"/>
  <c r="E79" i="1"/>
  <c r="E77" i="13" s="1"/>
  <c r="E89" i="1"/>
  <c r="E87" i="13" s="1"/>
  <c r="F18" i="5"/>
  <c r="H18" i="5" s="1"/>
  <c r="G18" i="5"/>
  <c r="F24" i="5"/>
  <c r="F19" i="5"/>
  <c r="H19" i="5" s="1"/>
  <c r="F20" i="5"/>
  <c r="H20" i="5" s="1"/>
  <c r="D82" i="1" l="1"/>
  <c r="D80" i="13" s="1"/>
  <c r="D29" i="13"/>
  <c r="E29" i="13"/>
  <c r="H11" i="5"/>
  <c r="D86" i="1"/>
  <c r="D84" i="13" s="1"/>
  <c r="G25" i="5"/>
  <c r="E17" i="2"/>
  <c r="E17" i="14" s="1"/>
  <c r="D17" i="2"/>
  <c r="D17" i="14" s="1"/>
  <c r="F25" i="5"/>
  <c r="H25" i="5" s="1"/>
  <c r="E82" i="1"/>
  <c r="E80" i="13" s="1"/>
  <c r="E21" i="2" l="1"/>
  <c r="E21" i="14" s="1"/>
  <c r="D21" i="2"/>
  <c r="D21" i="14" s="1"/>
  <c r="E86" i="1"/>
  <c r="E84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Szécsi Balázs</author>
  </authors>
  <commentList>
    <comment ref="H46" authorId="0" shapeId="0" xr:uid="{CFEB958E-C42B-4EAF-AC0F-8280C7E46B4D}">
      <text>
        <r>
          <rPr>
            <b/>
            <sz val="9"/>
            <color indexed="81"/>
            <rFont val="Tahoma"/>
            <family val="2"/>
            <charset val="238"/>
          </rPr>
          <t>Szécsi Balázs:</t>
        </r>
        <r>
          <rPr>
            <sz val="9"/>
            <color indexed="81"/>
            <rFont val="Tahoma"/>
            <family val="2"/>
            <charset val="238"/>
          </rPr>
          <t xml:space="preserve">
3 hónap van csak KÁT-ban, a többi a piaci alapúban</t>
        </r>
      </text>
    </comment>
    <comment ref="B55" authorId="0" shapeId="0" xr:uid="{92E7AD30-6369-4FB7-B639-E27CEF653449}">
      <text>
        <r>
          <rPr>
            <b/>
            <sz val="9"/>
            <color indexed="81"/>
            <rFont val="Tahoma"/>
            <family val="2"/>
            <charset val="238"/>
          </rPr>
          <t>Szécsi Balázs:</t>
        </r>
        <r>
          <rPr>
            <sz val="9"/>
            <color indexed="81"/>
            <rFont val="Tahoma"/>
            <family val="2"/>
            <charset val="238"/>
          </rPr>
          <t xml:space="preserve">
nem konszolidálódik, az ALTEO csak üzemeltet</t>
        </r>
      </text>
    </comment>
    <comment ref="C55" authorId="0" shapeId="0" xr:uid="{1422562B-B283-4271-8A67-FB8EFC1C90D8}">
      <text>
        <r>
          <rPr>
            <b/>
            <sz val="9"/>
            <color indexed="81"/>
            <rFont val="Tahoma"/>
            <family val="2"/>
            <charset val="238"/>
          </rPr>
          <t>Szécsi Balázs:</t>
        </r>
        <r>
          <rPr>
            <sz val="9"/>
            <color indexed="81"/>
            <rFont val="Tahoma"/>
            <family val="2"/>
            <charset val="238"/>
          </rPr>
          <t xml:space="preserve">
nem konszolidálódik, az ALTEO csak üzemeltet</t>
        </r>
      </text>
    </comment>
  </commentList>
</comments>
</file>

<file path=xl/sharedStrings.xml><?xml version="1.0" encoding="utf-8"?>
<sst xmlns="http://schemas.openxmlformats.org/spreadsheetml/2006/main" count="1867" uniqueCount="400">
  <si>
    <t>Mérleg</t>
  </si>
  <si>
    <t>Balance sheet</t>
  </si>
  <si>
    <t>FY</t>
  </si>
  <si>
    <t>Befektetett eszközök</t>
  </si>
  <si>
    <t>Fixed assets</t>
  </si>
  <si>
    <t>Erőművek és energiatermelő ingatlanok, gépek és berendezések</t>
  </si>
  <si>
    <t>Power plant and relatd equipments</t>
  </si>
  <si>
    <t>Egyéb gépek, felszerelések és berendezések</t>
  </si>
  <si>
    <t>Other equipment</t>
  </si>
  <si>
    <t>Nettó befektetés lízingbe</t>
  </si>
  <si>
    <t>Net investment into leased assets</t>
  </si>
  <si>
    <t>-</t>
  </si>
  <si>
    <t>Kibocsátási jogok</t>
  </si>
  <si>
    <t>Emission rights</t>
  </si>
  <si>
    <t>Egyéb immateriális eszközök</t>
  </si>
  <si>
    <t>Other intangible assets</t>
  </si>
  <si>
    <t>Üzemeltetési szerződések</t>
  </si>
  <si>
    <t>Operational contracts</t>
  </si>
  <si>
    <t>Goodwill</t>
  </si>
  <si>
    <t>--</t>
  </si>
  <si>
    <t>Halasztott adó eszközök</t>
  </si>
  <si>
    <t>Deferred tax assets</t>
  </si>
  <si>
    <t>Tartósan adott kölcsön</t>
  </si>
  <si>
    <t>Long term loans</t>
  </si>
  <si>
    <t>Tartós részesedés kapcsolt vállalkozásban</t>
  </si>
  <si>
    <t>Forgóeszközök</t>
  </si>
  <si>
    <t>Current assets</t>
  </si>
  <si>
    <t>Készletek</t>
  </si>
  <si>
    <t>Invetories</t>
  </si>
  <si>
    <t>Vevőkövetelések</t>
  </si>
  <si>
    <t>Receivables</t>
  </si>
  <si>
    <t>Egyéb pénzügyi eszközök</t>
  </si>
  <si>
    <t>Other financial assets</t>
  </si>
  <si>
    <t>Egyéb követelések és időbeli elhatárolások</t>
  </si>
  <si>
    <t>Other receivables and accruals</t>
  </si>
  <si>
    <t>Nyereségadó követelések</t>
  </si>
  <si>
    <t>Corporate income tax receivables</t>
  </si>
  <si>
    <t>Pénzeszközök és egyenértékeseik</t>
  </si>
  <si>
    <t>Cash &amp; cash equivalents</t>
  </si>
  <si>
    <t>Értékesítési céllal tartott eszközök</t>
  </si>
  <si>
    <t>Assets held for sale</t>
  </si>
  <si>
    <t>ESZKÖZÖK ÖSSZESEN</t>
  </si>
  <si>
    <t>Total assets</t>
  </si>
  <si>
    <t>Saját tőke</t>
  </si>
  <si>
    <t xml:space="preserve">Equity  </t>
  </si>
  <si>
    <t>Anyavállalat tulajdonosaira jutó tőke</t>
  </si>
  <si>
    <t>Equity attributable to shareholders</t>
  </si>
  <si>
    <t>Jegyzett tőke</t>
  </si>
  <si>
    <t>Share capital</t>
  </si>
  <si>
    <t>Additional paid-in capital</t>
  </si>
  <si>
    <t>Részvény alapú kifizetések tartaléka</t>
  </si>
  <si>
    <t>Share based payment reserve</t>
  </si>
  <si>
    <t>Eredménytartalék</t>
  </si>
  <si>
    <t>Retained earnings</t>
  </si>
  <si>
    <t>Saját részvény miatti tulajdonosi tranzakció</t>
  </si>
  <si>
    <t>Adjustment due to treasury shares</t>
  </si>
  <si>
    <t>Cash flow hedge tartaléka</t>
  </si>
  <si>
    <t>Cash flow hedge reserves</t>
  </si>
  <si>
    <t>Átváltási különbözet</t>
  </si>
  <si>
    <t>Nem kontrolláló érdekeltség</t>
  </si>
  <si>
    <t>Minority interest</t>
  </si>
  <si>
    <t>Hosszú lejáratú kötelezettségek</t>
  </si>
  <si>
    <t>Long term liabilities</t>
  </si>
  <si>
    <t>Hosszú lejáratú hitelek és kölcsönök</t>
  </si>
  <si>
    <t>Tartozások kötvénykibocsátásból</t>
  </si>
  <si>
    <t>Issued bonds</t>
  </si>
  <si>
    <t>Pénzügyilízing-tartozások</t>
  </si>
  <si>
    <t>Financial leasing</t>
  </si>
  <si>
    <t>Halasztott adó kötelezettségek</t>
  </si>
  <si>
    <t>Deferred tax liabilities</t>
  </si>
  <si>
    <t>Céltartalékok</t>
  </si>
  <si>
    <t>Provisions</t>
  </si>
  <si>
    <t>Halasztott bevételek</t>
  </si>
  <si>
    <t>Deferred income</t>
  </si>
  <si>
    <t>Egyéb hosszú lejáratú kötelezettségek</t>
  </si>
  <si>
    <t>Other long term liabilities</t>
  </si>
  <si>
    <t>Rövid lejáratú kötelezettségek</t>
  </si>
  <si>
    <t>Short term liabilities</t>
  </si>
  <si>
    <t>Rövid lejáratú hitelek, kölcsönök</t>
  </si>
  <si>
    <t>Rövid lejáratú kötvénytartozások</t>
  </si>
  <si>
    <t>Szállítótartozások</t>
  </si>
  <si>
    <t>Payables</t>
  </si>
  <si>
    <t>Egyéb pénzügyi kötelezettségek</t>
  </si>
  <si>
    <t>Other financial liabilities</t>
  </si>
  <si>
    <t>Egyéb rövid lejáratú kötelezettségek és időbeli elhatárolások</t>
  </si>
  <si>
    <t>Other short term liabilities and deferrals</t>
  </si>
  <si>
    <t>Nyereségadó kötelezettségek</t>
  </si>
  <si>
    <t>Corporate income tax liabilities</t>
  </si>
  <si>
    <t>Vevői előlegek</t>
  </si>
  <si>
    <t>Advances from cutomers</t>
  </si>
  <si>
    <t>SAJÁT TŐKE és KÖTELEZETTSÉGEK ÖSSZESEN</t>
  </si>
  <si>
    <t>Total equity and liabilities</t>
  </si>
  <si>
    <t>M Ft-ban</t>
  </si>
  <si>
    <t>ezer EUR-ban</t>
  </si>
  <si>
    <t>Árbevételek</t>
  </si>
  <si>
    <t>Egyéb bevételek/(ráfordítások)</t>
  </si>
  <si>
    <t>Adózás előtti eredmény</t>
  </si>
  <si>
    <t>Jövedelemadó ráfordítás</t>
  </si>
  <si>
    <t>Nettó eredmény (folytatandó tevékenységekből)</t>
  </si>
  <si>
    <t>Ebből az anyavállalat tulajdonosait illeti:</t>
  </si>
  <si>
    <t>Átfogó eredmény (folytatandó tevékenységekből)</t>
  </si>
  <si>
    <t>EBITDA</t>
  </si>
  <si>
    <t>2018 H1</t>
  </si>
  <si>
    <t>Net Sales</t>
  </si>
  <si>
    <t>Material Costs</t>
  </si>
  <si>
    <t>Személyi jellegű ráfordítások</t>
  </si>
  <si>
    <t>Personal related costs</t>
  </si>
  <si>
    <t>Értékcsökkenés</t>
  </si>
  <si>
    <t>Depreciation</t>
  </si>
  <si>
    <t>Other income/(costs)</t>
  </si>
  <si>
    <t>Értékvesztés miatti veszteségek</t>
  </si>
  <si>
    <t>Amortization costs</t>
  </si>
  <si>
    <t>Működési Eredmény</t>
  </si>
  <si>
    <t>Operating Profit</t>
  </si>
  <si>
    <t>Pénzügyi bevételek/(ráfordítások)</t>
  </si>
  <si>
    <t>Net Financial profit/(loss)</t>
  </si>
  <si>
    <t>Earnings Before Tax</t>
  </si>
  <si>
    <t>Corporate tax expense</t>
  </si>
  <si>
    <t>Net Profit</t>
  </si>
  <si>
    <t>o/w to equity holders</t>
  </si>
  <si>
    <t>Ebből a nem kontrolláló érdekeltséget illeti:</t>
  </si>
  <si>
    <t>o/w to minority interests</t>
  </si>
  <si>
    <t>Egyéb átfogó eredmény</t>
  </si>
  <si>
    <t>Other Comprehensive Income</t>
  </si>
  <si>
    <t>Comprehensive Income</t>
  </si>
  <si>
    <t>Millió Forint</t>
  </si>
  <si>
    <t>HUF Millions</t>
  </si>
  <si>
    <t>Éves átlagos EUR/HUF árfolyam</t>
  </si>
  <si>
    <t>2017 H1</t>
  </si>
  <si>
    <t>Anyagjellegű ráfordítások</t>
  </si>
  <si>
    <t>nem auditált</t>
  </si>
  <si>
    <t>Tartósan adott kölcsön és letétek</t>
  </si>
  <si>
    <t>Tartós részesedés társult vállalkozásban</t>
  </si>
  <si>
    <t>Forgóeszközök és értékesítési céllal tartott eszközök</t>
  </si>
  <si>
    <t>Anyavállalat tulajdonosaira jutó saját tőke</t>
  </si>
  <si>
    <t>Tulajdonosi tranzakciók</t>
  </si>
  <si>
    <t>Átváltási különbözetek</t>
  </si>
  <si>
    <t>Pénzügyi lízing tartozások</t>
  </si>
  <si>
    <t>Rövid lejáratú hitelek és kölcsönök</t>
  </si>
  <si>
    <t>Debentures</t>
  </si>
  <si>
    <t>Not audited</t>
  </si>
  <si>
    <t>Változás</t>
  </si>
  <si>
    <t>management account</t>
  </si>
  <si>
    <t>Hő- és villamosenergia-termelés (KÁT rendszeren kívül)</t>
  </si>
  <si>
    <t>Villamosenergia-termelés
(KÁT rendszerben)</t>
  </si>
  <si>
    <t>Energetikai vállalkozás és szolgáltatások</t>
  </si>
  <si>
    <t>Energia kiskereskedelem</t>
  </si>
  <si>
    <t>Egyéb</t>
  </si>
  <si>
    <t>Szegmensek közötti kiszűrések</t>
  </si>
  <si>
    <t>Árbevétel</t>
  </si>
  <si>
    <t>Működési költségek</t>
  </si>
  <si>
    <t>  adatok  M Ft-ban </t>
  </si>
  <si>
    <t>Eredméynkimutatás</t>
  </si>
  <si>
    <t>Energy production (market base)</t>
  </si>
  <si>
    <t>Energy production (feed-in tariff)</t>
  </si>
  <si>
    <t>Energy services</t>
  </si>
  <si>
    <t>Energy supply &amp;trading</t>
  </si>
  <si>
    <t>Other</t>
  </si>
  <si>
    <t>Ebből: Helyi iparűzési adó ráfordítás</t>
  </si>
  <si>
    <t>o/w local tax</t>
  </si>
  <si>
    <t>Profit and Loss Statement</t>
  </si>
  <si>
    <t>2019 H1</t>
  </si>
  <si>
    <t>Letétek, pénzügyi biztosítékok</t>
  </si>
  <si>
    <t>Használati jogok (Lízing eszközök)</t>
  </si>
  <si>
    <t>%
2018/2017</t>
  </si>
  <si>
    <t>Power plant and related equipments</t>
  </si>
  <si>
    <t>EUR '000</t>
  </si>
  <si>
    <t>2017 Q1</t>
  </si>
  <si>
    <t>2018 Q2</t>
  </si>
  <si>
    <t>2017Q2</t>
  </si>
  <si>
    <t>2017 Q3</t>
  </si>
  <si>
    <t>2017Q4</t>
  </si>
  <si>
    <t>2018Q1</t>
  </si>
  <si>
    <t>2018 Q3</t>
  </si>
  <si>
    <t>2019 Q3</t>
  </si>
  <si>
    <t>2019 Q2</t>
  </si>
  <si>
    <t>2018 Q4</t>
  </si>
  <si>
    <t>2019 Q1</t>
  </si>
  <si>
    <t>Tőketartalék</t>
  </si>
  <si>
    <t>Leasing receivables (&lt; one year)</t>
  </si>
  <si>
    <t>Shares in related companies (long term)</t>
  </si>
  <si>
    <t>Conversion margin</t>
  </si>
  <si>
    <t>Deposits, financial collaterals</t>
  </si>
  <si>
    <t>Utilization rights for leased assets</t>
  </si>
  <si>
    <t>P&amp;L</t>
  </si>
  <si>
    <t>Eredménykimutatás</t>
  </si>
  <si>
    <t>Lízingbe adott eszköz (rövid)</t>
  </si>
  <si>
    <t>Short term loans</t>
  </si>
  <si>
    <t>negyedéves átlag árfolyam</t>
  </si>
  <si>
    <t>not audited</t>
  </si>
  <si>
    <t>2020 Q1</t>
  </si>
  <si>
    <t>2019 Q4</t>
  </si>
  <si>
    <t>2020 Q2</t>
  </si>
  <si>
    <t>Villamosenergia-termelés</t>
  </si>
  <si>
    <t>Energy Production (feed-in-tariff)</t>
  </si>
  <si>
    <t>Revenues</t>
  </si>
  <si>
    <t>Operating cost</t>
  </si>
  <si>
    <t>millió Ft</t>
  </si>
  <si>
    <t>HUF million</t>
  </si>
  <si>
    <t>Hő- és villamos energia termelés (piaci)</t>
  </si>
  <si>
    <t>Energy Production (market base)</t>
  </si>
  <si>
    <t>Energy supply &amp; trading</t>
  </si>
  <si>
    <t>Szegmensek összesen kiszűrések nélkül</t>
  </si>
  <si>
    <t>Szegmensek összesen kiszűrésekkel</t>
  </si>
  <si>
    <t>Segments total with adjustments</t>
  </si>
  <si>
    <t>Segments total w/o adjustments</t>
  </si>
  <si>
    <t>ebből hitelek, kölcsönök, kötvények, lízing</t>
  </si>
  <si>
    <t>of which loans, bonds, leasing</t>
  </si>
  <si>
    <t>2019Q4</t>
  </si>
  <si>
    <t>%
2019/2018</t>
  </si>
  <si>
    <t>Rövid lejáratú pénzügyi lízing tartozások</t>
  </si>
  <si>
    <t>Leasing liabilities</t>
  </si>
  <si>
    <t>Natural gas consumtion - GJ - power plants</t>
  </si>
  <si>
    <t>Felhasznált gáz - GJ-ban - Erőművek</t>
  </si>
  <si>
    <t>Sold energy - Energy supply and trading - MWh</t>
  </si>
  <si>
    <t>Értékesített energia - Energia kiskereskedelem - MWh</t>
  </si>
  <si>
    <t>Győr</t>
  </si>
  <si>
    <t>Electricity</t>
  </si>
  <si>
    <t>Villamos energia</t>
  </si>
  <si>
    <t>Sopron</t>
  </si>
  <si>
    <t>Natural gas</t>
  </si>
  <si>
    <t>Földgáz</t>
  </si>
  <si>
    <t>Kazincbarcika</t>
  </si>
  <si>
    <t>Total</t>
  </si>
  <si>
    <t>Összesen</t>
  </si>
  <si>
    <t>Ózd</t>
  </si>
  <si>
    <t>Tiszaújváros</t>
  </si>
  <si>
    <t>Zugló</t>
  </si>
  <si>
    <t>Agria Park</t>
  </si>
  <si>
    <t>Produced electricity - Market-based sales - MWh</t>
  </si>
  <si>
    <t>Termelt villamos energia - Erőművek - MWh</t>
  </si>
  <si>
    <t>Sold electricity - Virtual Power Plant - MWh</t>
  </si>
  <si>
    <t>Értékesített villamos energia - Nagykereskedelem - MWh</t>
  </si>
  <si>
    <t>Produced heat energy - power plants - GJ</t>
  </si>
  <si>
    <t>Termelt hőenergia - Erőművek - GJ</t>
  </si>
  <si>
    <t>Produced electricity - Feed-in tariff system - MWh</t>
  </si>
  <si>
    <t>Debrecen 1</t>
  </si>
  <si>
    <t>Debrecen 2</t>
  </si>
  <si>
    <t>Kisújszállás</t>
  </si>
  <si>
    <t>Nyíregyháza</t>
  </si>
  <si>
    <t>Nagykőrös - Biogas</t>
  </si>
  <si>
    <t>Renewable capacities - MW</t>
  </si>
  <si>
    <t>Megújuló kapacitások - MW</t>
  </si>
  <si>
    <t>Wind</t>
  </si>
  <si>
    <t>Szél</t>
  </si>
  <si>
    <t>Hydro</t>
  </si>
  <si>
    <t>Víz</t>
  </si>
  <si>
    <t>Solar</t>
  </si>
  <si>
    <t>Nap</t>
  </si>
  <si>
    <t>Biogas</t>
  </si>
  <si>
    <t>Biogáz</t>
  </si>
  <si>
    <t>Control Centre capacities - MW</t>
  </si>
  <si>
    <t>Szabályozó központ (saját tulajdonú) kapacitások- MW</t>
  </si>
  <si>
    <t>Gas engines</t>
  </si>
  <si>
    <t>Gázmotorok</t>
  </si>
  <si>
    <t>Batteries</t>
  </si>
  <si>
    <t>Akkumulátorok</t>
  </si>
  <si>
    <t>Renewables</t>
  </si>
  <si>
    <t>Megújuló</t>
  </si>
  <si>
    <t>Egyéb bevétel és Egyéb ráfordítás</t>
  </si>
  <si>
    <t>Villamosenergia-termelés
(Támogatott rendszerben)</t>
  </si>
  <si>
    <t>Hő- és villamosenergia-termelés (Támogatott rendszeren kívül)</t>
  </si>
  <si>
    <t>2020 H1</t>
  </si>
  <si>
    <t>2020 Q3</t>
  </si>
  <si>
    <t>Ebből: helyi iparűzési adó ráfordítás</t>
  </si>
  <si>
    <t>ouf of which is local tax</t>
  </si>
  <si>
    <t>Short term leasing liabilities</t>
  </si>
  <si>
    <t>ebből ALTEO csoporton belüli villamos energia értékesítés</t>
  </si>
  <si>
    <t>Transactions with the shareholders</t>
  </si>
  <si>
    <t>Capitalized value of own production</t>
  </si>
  <si>
    <t>Energiatermelés (támogatott rendszeren kívül)</t>
  </si>
  <si>
    <t>Villamosenergia-termelés (Támogatott rendszerben)</t>
  </si>
  <si>
    <t>Energetikai szolgáltatások</t>
  </si>
  <si>
    <t>Energia-kereskedelem</t>
  </si>
  <si>
    <t>Konszolidációs kiszűrések</t>
  </si>
  <si>
    <t xml:space="preserve">Egyéb bevétel és Egyéb ráfordítás </t>
  </si>
  <si>
    <t>Aktivált saját teljesítmények értéke</t>
  </si>
  <si>
    <t>EBITDA*</t>
  </si>
  <si>
    <t>Aktivált saját teljesítmények</t>
  </si>
  <si>
    <t>2020 Q4</t>
  </si>
  <si>
    <t>auditált</t>
  </si>
  <si>
    <t>audited</t>
  </si>
  <si>
    <t>2020. év</t>
  </si>
  <si>
    <t>2019. év</t>
  </si>
  <si>
    <t>2021 Q1</t>
  </si>
  <si>
    <t>Ráosztott igazgatási költség</t>
  </si>
  <si>
    <t>EBITDA II</t>
  </si>
  <si>
    <t>Energetikai vállalkozás és szolgáltatások - millió Ft</t>
  </si>
  <si>
    <t>Energia kiskereskedelem - millió Ft</t>
  </si>
  <si>
    <t>Egyéb - millió Ft</t>
  </si>
  <si>
    <t>Material-type expenditures</t>
  </si>
  <si>
    <t>Other revenues and expenditures</t>
  </si>
  <si>
    <t>Personnel Expenditures</t>
  </si>
  <si>
    <t>Allocated overhead costs</t>
  </si>
  <si>
    <t>Sales revenue</t>
  </si>
  <si>
    <t>Energy services - HUF million</t>
  </si>
  <si>
    <t>Retail energy trade - HUF million</t>
  </si>
  <si>
    <t>Other segment - HUF million</t>
  </si>
  <si>
    <t>2021 H1</t>
  </si>
  <si>
    <t>20201.06.30</t>
  </si>
  <si>
    <t>2021 Q2</t>
  </si>
  <si>
    <t>2021 Q3</t>
  </si>
  <si>
    <t>2021 Q4</t>
  </si>
  <si>
    <t>EUR thousands</t>
  </si>
  <si>
    <t>2022Q1</t>
  </si>
  <si>
    <t>ebből OCI</t>
  </si>
  <si>
    <t>of which OCI</t>
  </si>
  <si>
    <t>2022 Q1</t>
  </si>
  <si>
    <t>2022 H1</t>
  </si>
  <si>
    <t>2022 Q1-Q3</t>
  </si>
  <si>
    <t>2022 Q3</t>
  </si>
  <si>
    <t>OCI</t>
  </si>
  <si>
    <t xml:space="preserve">of which OCI </t>
  </si>
  <si>
    <t>2021 Q1-Q4</t>
  </si>
  <si>
    <t>2021 Q1-Q3</t>
  </si>
  <si>
    <t>Villamosenergia-termelés (megújuló) - millió Ft</t>
  </si>
  <si>
    <t>Electricity production (renewable) - HUF million</t>
  </si>
  <si>
    <t>Hő- és villamos energia termelés (nem megújuló)- millió Ft</t>
  </si>
  <si>
    <t>Heat and electricity production (non-renewable) - HUF million</t>
  </si>
  <si>
    <t>2022 Q1-Q4</t>
  </si>
  <si>
    <t>2022 Q4</t>
  </si>
  <si>
    <t>2023Q1</t>
  </si>
  <si>
    <t>Hulladék gazdálkodás - millió Ft</t>
  </si>
  <si>
    <t>Waste management - HUF million</t>
  </si>
  <si>
    <t>2023 H1</t>
  </si>
  <si>
    <t>2023 Q1-Q3</t>
  </si>
  <si>
    <t xml:space="preserve">ebből Egyéb átfogó eredmény hatása </t>
  </si>
  <si>
    <t>ebből pénzeszközök</t>
  </si>
  <si>
    <t>ebből Vevőkövetelések és időbeli elhatárolások</t>
  </si>
  <si>
    <t>ebből Egyéb forgóeszközök</t>
  </si>
  <si>
    <t>of which trade receivables and accruals</t>
  </si>
  <si>
    <t>of which other current assets</t>
  </si>
  <si>
    <t>of which cash &amp; cash equivalents</t>
  </si>
  <si>
    <t>ebből Egyéb hosszú lejáratú kötelezettség</t>
  </si>
  <si>
    <t>of which other long-term liability</t>
  </si>
  <si>
    <t>ebből Szállítótartozások és időbeli elhatárolások</t>
  </si>
  <si>
    <t>ebből Egyéb rövid lejáratú kötelezettség</t>
  </si>
  <si>
    <t>of which trade payables and accruals</t>
  </si>
  <si>
    <t>of which other short-term liability</t>
  </si>
  <si>
    <t>2023 Q1</t>
  </si>
  <si>
    <t>2023 Q3</t>
  </si>
  <si>
    <t>Advances from customers</t>
  </si>
  <si>
    <t>Electric boilers</t>
  </si>
  <si>
    <t>EUR/HUF conversion rate @ end-of-period</t>
  </si>
  <si>
    <t>2024Q1</t>
  </si>
  <si>
    <t>2024 Q1</t>
  </si>
  <si>
    <t>2023H1</t>
  </si>
  <si>
    <t>2023 Q1-Q4</t>
  </si>
  <si>
    <t>ebből Készletek és kibocsátási jogok</t>
  </si>
  <si>
    <t>of which inventories and emission rights</t>
  </si>
  <si>
    <t>2024 H1</t>
  </si>
  <si>
    <t>2024H1</t>
  </si>
  <si>
    <t>2024 Q1-Q3</t>
  </si>
  <si>
    <t>2024Q1-Q3</t>
  </si>
  <si>
    <t>2024Q3</t>
  </si>
  <si>
    <t>ezer EUR</t>
  </si>
  <si>
    <t>Márleg</t>
  </si>
  <si>
    <t>HUF millions</t>
  </si>
  <si>
    <t>M Ft</t>
  </si>
  <si>
    <t>annual average EUR/HUF conversion rate</t>
  </si>
  <si>
    <t>EUR/HUF average exchange rate</t>
  </si>
  <si>
    <t>EUR/HUF@ at end-of-period</t>
  </si>
  <si>
    <t>Quarterly average EUR/HUF exchange rate</t>
  </si>
  <si>
    <t>Short term provisions</t>
  </si>
  <si>
    <t>Rövid lejáratú céltartalékok</t>
  </si>
  <si>
    <t>2024 Q1-Q4</t>
  </si>
  <si>
    <t>2024Q1-Q4</t>
  </si>
  <si>
    <t>2024Q4</t>
  </si>
  <si>
    <t>Ács (szél)</t>
  </si>
  <si>
    <t>Jánossomorja (szél)</t>
  </si>
  <si>
    <t>Pápakovácsi (szél)</t>
  </si>
  <si>
    <t>Törökszentmiklós (szél)</t>
  </si>
  <si>
    <t>Bőny (szél)</t>
  </si>
  <si>
    <t>Levél és Mosonszolnok  (szél)</t>
  </si>
  <si>
    <t>Gibárt  (víz)</t>
  </si>
  <si>
    <t>Debrecen (depóniagáz)</t>
  </si>
  <si>
    <t>Ács (wind)</t>
  </si>
  <si>
    <t>Jánossomorja (wind)</t>
  </si>
  <si>
    <t>Pápakovácsi (wind)</t>
  </si>
  <si>
    <t>Törökszentmiklós (wind)</t>
  </si>
  <si>
    <t>Bőny (wind)</t>
  </si>
  <si>
    <t>Levél és Mosonszolnok  (wind)</t>
  </si>
  <si>
    <t>Gibárt  (hydro)</t>
  </si>
  <si>
    <t>Debrecen (landfill gas)</t>
  </si>
  <si>
    <t>Bábolna (szél)</t>
  </si>
  <si>
    <t>Gibárt (víz)</t>
  </si>
  <si>
    <t>Felsődobsza (víz)</t>
  </si>
  <si>
    <t>Domaszék (nap)</t>
  </si>
  <si>
    <t>Monor nap)</t>
  </si>
  <si>
    <t>Balatonberény (nap)</t>
  </si>
  <si>
    <t>Nagykőrös (nap)</t>
  </si>
  <si>
    <t>Tereske (nap)</t>
  </si>
  <si>
    <t>Bábolna (wind)</t>
  </si>
  <si>
    <t>Felsődobsza (hydro)</t>
  </si>
  <si>
    <t>Gibárt (hydro)</t>
  </si>
  <si>
    <t>Domaszék (solar)</t>
  </si>
  <si>
    <t>Balatonberény (solar)</t>
  </si>
  <si>
    <t>Nagykőrös (solar)</t>
  </si>
  <si>
    <t>Tereske (solar)</t>
  </si>
  <si>
    <t>Elektromos kazánok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</si>
</sst>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#,##0.0_);\(#,##0.0\);\-\-_);@_)"/>
    <numFmt numFmtId="166" formatCode="#,##0_);\(#,##0\);\-\-_);@_)"/>
    <numFmt numFmtId="167" formatCode="#,##0_);\(#,##0\);&quot;-  &quot;;&quot; &quot;@"/>
    <numFmt numFmtId="168" formatCode="_-* #,##0_F_t_-;* \(#,##0\)_F_t_-;_-* &quot;-&quot;\ _F_t_-;_-@_-\ "/>
    <numFmt numFmtId="169" formatCode="_-* #,##0\ _F_t_-;\-* #,##0\ _F_t_-;_-* &quot;-&quot;??\ _F_t_-;_-@_-"/>
    <numFmt numFmtId="170" formatCode="0.0%"/>
    <numFmt numFmtId="171" formatCode="#,##0.0"/>
    <numFmt numFmtId="172" formatCode="_(* #,##0_);_(* \(#,##0\);_(* &quot;-&quot;??_);_(@_)"/>
    <numFmt numFmtId="173" formatCode="_-* #,##0.00\ [$€-1]_-;\-* #,##0.00\ [$€-1]_-;_-* &quot;-&quot;??\ [$€-1]_-"/>
    <numFmt numFmtId="174" formatCode="yyyy/mm/dd;@"/>
    <numFmt numFmtId="175" formatCode="_-* #,##0\ _F_t_-;\-* #,##0\ _F_t_-;_-* &quot;-&quot;\ _F_t_-;_-@_-"/>
    <numFmt numFmtId="176" formatCode="0.0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9"/>
      <color theme="0"/>
      <name val="Arial"/>
      <family val="2"/>
    </font>
    <font>
      <sz val="8"/>
      <color rgb="FF0000FF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MS Sans Serif"/>
    </font>
    <font>
      <sz val="10"/>
      <color indexed="12"/>
      <name val="Arial CE"/>
      <family val="2"/>
      <charset val="238"/>
    </font>
    <font>
      <sz val="10"/>
      <color indexed="36"/>
      <name val="Arial CE"/>
      <family val="2"/>
      <charset val="238"/>
    </font>
    <font>
      <sz val="10"/>
      <name val="MS Sans Serif"/>
      <family val="2"/>
    </font>
    <font>
      <u/>
      <sz val="10"/>
      <color theme="10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EB6"/>
        <bgColor indexed="64"/>
      </patternFill>
    </fill>
    <fill>
      <patternFill patternType="solid">
        <fgColor rgb="FFE6E6E6"/>
        <bgColor rgb="FFC0C0C0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2AC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7CE"/>
      </patternFill>
    </fill>
    <fill>
      <patternFill patternType="solid">
        <fgColor theme="7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 tint="-0.249977111117893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70C0"/>
      </bottom>
      <diagonal/>
    </border>
    <border>
      <left/>
      <right style="medium">
        <color indexed="64"/>
      </right>
      <top style="medium">
        <color indexed="64"/>
      </top>
      <bottom style="thin">
        <color rgb="FF0070C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70C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70C0"/>
      </bottom>
      <diagonal/>
    </border>
    <border>
      <left/>
      <right/>
      <top style="medium">
        <color indexed="64"/>
      </top>
      <bottom style="double">
        <color theme="5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1">
    <xf numFmtId="0" fontId="0" fillId="0" borderId="0"/>
    <xf numFmtId="164" fontId="1" fillId="0" borderId="0" applyFont="0" applyFill="0" applyBorder="0" applyAlignment="0" applyProtection="0"/>
    <xf numFmtId="165" fontId="5" fillId="4" borderId="3">
      <alignment horizontal="right" vertical="center"/>
    </xf>
    <xf numFmtId="0" fontId="9" fillId="0" borderId="0"/>
    <xf numFmtId="167" fontId="1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4" fillId="0" borderId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167" fontId="1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167" fontId="1" fillId="0" borderId="0" applyFont="0" applyFill="0" applyBorder="0" applyProtection="0">
      <alignment vertical="top"/>
    </xf>
    <xf numFmtId="0" fontId="1" fillId="0" borderId="0"/>
    <xf numFmtId="0" fontId="32" fillId="0" borderId="0"/>
    <xf numFmtId="43" fontId="1" fillId="0" borderId="0" applyFont="0" applyFill="0" applyBorder="0" applyAlignment="0" applyProtection="0"/>
    <xf numFmtId="0" fontId="32" fillId="0" borderId="0"/>
    <xf numFmtId="0" fontId="1" fillId="0" borderId="0"/>
    <xf numFmtId="0" fontId="9" fillId="0" borderId="0"/>
    <xf numFmtId="0" fontId="1" fillId="0" borderId="0"/>
    <xf numFmtId="173" fontId="1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39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0" borderId="0"/>
    <xf numFmtId="0" fontId="9" fillId="0" borderId="0"/>
    <xf numFmtId="0" fontId="39" fillId="0" borderId="0"/>
    <xf numFmtId="43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3" fillId="0" borderId="0"/>
    <xf numFmtId="0" fontId="43" fillId="0" borderId="0"/>
    <xf numFmtId="164" fontId="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0" fontId="43" fillId="0" borderId="0"/>
    <xf numFmtId="0" fontId="43" fillId="0" borderId="0"/>
    <xf numFmtId="0" fontId="39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3" fontId="48" fillId="0" borderId="0">
      <alignment horizontal="right"/>
      <protection locked="0"/>
    </xf>
    <xf numFmtId="175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0" borderId="0">
      <protection locked="0"/>
    </xf>
    <xf numFmtId="164" fontId="1" fillId="0" borderId="0" applyFont="0" applyFill="0" applyBorder="0" applyAlignment="0" applyProtection="0"/>
    <xf numFmtId="3" fontId="49" fillId="0" borderId="0">
      <alignment horizontal="right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0" fontId="1" fillId="0" borderId="0"/>
    <xf numFmtId="0" fontId="46" fillId="0" borderId="0">
      <protection locked="0"/>
    </xf>
    <xf numFmtId="164" fontId="1" fillId="0" borderId="0" applyFon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6" fillId="0" borderId="0">
      <protection locked="0"/>
    </xf>
    <xf numFmtId="164" fontId="1" fillId="0" borderId="0" applyFont="0" applyFill="0" applyBorder="0" applyAlignment="0" applyProtection="0"/>
    <xf numFmtId="0" fontId="46" fillId="0" borderId="0">
      <protection locked="0"/>
    </xf>
    <xf numFmtId="164" fontId="1" fillId="0" borderId="0" applyFont="0" applyFill="0" applyBorder="0" applyAlignment="0" applyProtection="0"/>
    <xf numFmtId="0" fontId="46" fillId="0" borderId="0">
      <protection locked="0"/>
    </xf>
    <xf numFmtId="0" fontId="9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0" borderId="0">
      <protection locked="0"/>
    </xf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6" fillId="0" borderId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6" fillId="0" borderId="0">
      <protection locked="0"/>
    </xf>
    <xf numFmtId="164" fontId="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4" fontId="32" fillId="0" borderId="0" applyFont="0" applyFill="0" applyBorder="0" applyAlignment="0" applyProtection="0"/>
    <xf numFmtId="0" fontId="46" fillId="0" borderId="0">
      <protection locked="0"/>
    </xf>
    <xf numFmtId="0" fontId="51" fillId="0" borderId="0" applyNumberFormat="0" applyFill="0" applyBorder="0" applyAlignment="0" applyProtection="0"/>
    <xf numFmtId="0" fontId="32" fillId="0" borderId="0"/>
    <xf numFmtId="0" fontId="3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2" fillId="0" borderId="0"/>
    <xf numFmtId="164" fontId="1" fillId="0" borderId="0" applyFont="0" applyFill="0" applyBorder="0" applyAlignment="0" applyProtection="0"/>
    <xf numFmtId="3" fontId="32" fillId="0" borderId="0">
      <alignment vertical="center"/>
    </xf>
    <xf numFmtId="0" fontId="32" fillId="0" borderId="0"/>
    <xf numFmtId="0" fontId="44" fillId="0" borderId="0"/>
    <xf numFmtId="43" fontId="44" fillId="0" borderId="0" applyFont="0" applyFill="0" applyBorder="0" applyAlignment="0" applyProtection="0"/>
    <xf numFmtId="3" fontId="32" fillId="0" borderId="0">
      <alignment vertical="center"/>
    </xf>
    <xf numFmtId="0" fontId="4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14" borderId="0" applyNumberFormat="0" applyBorder="0" applyAlignment="0" applyProtection="0"/>
    <xf numFmtId="0" fontId="41" fillId="13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0" borderId="0"/>
    <xf numFmtId="0" fontId="1" fillId="0" borderId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32" fillId="0" borderId="0">
      <alignment vertical="center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9" fontId="1" fillId="0" borderId="0" applyFont="0" applyFill="0" applyBorder="0" applyAlignment="0" applyProtection="0"/>
    <xf numFmtId="0" fontId="42" fillId="14" borderId="0" applyNumberFormat="0" applyBorder="0" applyAlignment="0" applyProtection="0"/>
    <xf numFmtId="0" fontId="41" fillId="13" borderId="0" applyNumberFormat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3" fillId="0" borderId="0"/>
    <xf numFmtId="0" fontId="39" fillId="0" borderId="0"/>
    <xf numFmtId="0" fontId="4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39" fillId="0" borderId="0"/>
    <xf numFmtId="0" fontId="52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32" fillId="0" borderId="0"/>
    <xf numFmtId="0" fontId="1" fillId="0" borderId="0"/>
    <xf numFmtId="9" fontId="30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30" fillId="0" borderId="0"/>
    <xf numFmtId="0" fontId="39" fillId="0" borderId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0" borderId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0" borderId="0"/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164" fontId="1" fillId="0" borderId="0" applyFont="0" applyFill="0" applyBorder="0" applyAlignment="0" applyProtection="0"/>
    <xf numFmtId="0" fontId="43" fillId="0" borderId="0"/>
    <xf numFmtId="164" fontId="1" fillId="0" borderId="0" applyFont="0" applyFill="0" applyBorder="0" applyAlignment="0" applyProtection="0"/>
    <xf numFmtId="0" fontId="39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Protection="0">
      <alignment vertical="top"/>
    </xf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1" fillId="0" borderId="0"/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Protection="0">
      <alignment vertical="top"/>
    </xf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0" fontId="1" fillId="0" borderId="0"/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Protection="0">
      <alignment vertical="top"/>
    </xf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44" fillId="0" borderId="0"/>
  </cellStyleXfs>
  <cellXfs count="373">
    <xf numFmtId="0" fontId="0" fillId="0" borderId="0" xfId="0"/>
    <xf numFmtId="0" fontId="3" fillId="2" borderId="0" xfId="0" applyFont="1" applyFill="1"/>
    <xf numFmtId="0" fontId="4" fillId="3" borderId="0" xfId="0" applyFont="1" applyFill="1" applyAlignment="1">
      <alignment horizontal="right" vertical="center" indent="1"/>
    </xf>
    <xf numFmtId="166" fontId="6" fillId="0" borderId="4" xfId="2" applyNumberFormat="1" applyFont="1" applyFill="1" applyBorder="1">
      <alignment horizontal="right" vertical="center"/>
    </xf>
    <xf numFmtId="0" fontId="7" fillId="0" borderId="0" xfId="0" applyFont="1"/>
    <xf numFmtId="166" fontId="8" fillId="0" borderId="3" xfId="2" applyNumberFormat="1" applyFont="1" applyFill="1">
      <alignment horizontal="right" vertical="center"/>
    </xf>
    <xf numFmtId="166" fontId="8" fillId="0" borderId="3" xfId="2" quotePrefix="1" applyNumberFormat="1" applyFont="1" applyFill="1">
      <alignment horizontal="right" vertical="center"/>
    </xf>
    <xf numFmtId="166" fontId="8" fillId="0" borderId="5" xfId="2" applyNumberFormat="1" applyFont="1" applyFill="1" applyBorder="1">
      <alignment horizontal="right" vertical="center"/>
    </xf>
    <xf numFmtId="166" fontId="6" fillId="0" borderId="6" xfId="2" applyNumberFormat="1" applyFont="1" applyFill="1" applyBorder="1">
      <alignment horizontal="right" vertical="center"/>
    </xf>
    <xf numFmtId="166" fontId="6" fillId="0" borderId="8" xfId="2" applyNumberFormat="1" applyFont="1" applyFill="1" applyBorder="1">
      <alignment horizontal="right" vertical="center"/>
    </xf>
    <xf numFmtId="166" fontId="6" fillId="0" borderId="3" xfId="2" applyNumberFormat="1" applyFont="1" applyFill="1">
      <alignment horizontal="right" vertical="center"/>
    </xf>
    <xf numFmtId="166" fontId="7" fillId="0" borderId="0" xfId="0" applyNumberFormat="1" applyFont="1" applyAlignment="1">
      <alignment horizontal="right" indent="1"/>
    </xf>
    <xf numFmtId="167" fontId="10" fillId="0" borderId="1" xfId="4" applyFont="1" applyBorder="1" applyAlignment="1">
      <alignment horizontal="left" indent="1"/>
    </xf>
    <xf numFmtId="167" fontId="10" fillId="0" borderId="1" xfId="4" applyFont="1" applyBorder="1" applyAlignment="1">
      <alignment horizontal="right"/>
    </xf>
    <xf numFmtId="167" fontId="11" fillId="0" borderId="0" xfId="4" applyFont="1" applyAlignment="1">
      <alignment horizontal="left" indent="1"/>
    </xf>
    <xf numFmtId="167" fontId="11" fillId="0" borderId="0" xfId="4" applyFont="1" applyAlignment="1">
      <alignment horizontal="right"/>
    </xf>
    <xf numFmtId="167" fontId="1" fillId="0" borderId="0" xfId="4" applyAlignment="1">
      <alignment horizontal="left" indent="1"/>
    </xf>
    <xf numFmtId="167" fontId="1" fillId="0" borderId="0" xfId="4" applyAlignment="1">
      <alignment horizontal="right"/>
    </xf>
    <xf numFmtId="168" fontId="12" fillId="0" borderId="2" xfId="4" applyNumberFormat="1" applyFont="1" applyBorder="1">
      <alignment vertical="top"/>
    </xf>
    <xf numFmtId="167" fontId="2" fillId="0" borderId="2" xfId="4" applyFont="1" applyBorder="1" applyAlignment="1">
      <alignment horizontal="right" vertical="top"/>
    </xf>
    <xf numFmtId="167" fontId="2" fillId="0" borderId="2" xfId="4" applyFont="1" applyBorder="1">
      <alignment vertical="top"/>
    </xf>
    <xf numFmtId="167" fontId="1" fillId="0" borderId="9" xfId="4" applyBorder="1" applyAlignment="1">
      <alignment horizontal="left" indent="1"/>
    </xf>
    <xf numFmtId="167" fontId="1" fillId="0" borderId="1" xfId="4" applyBorder="1" applyAlignment="1">
      <alignment horizontal="left" indent="1"/>
    </xf>
    <xf numFmtId="167" fontId="1" fillId="0" borderId="1" xfId="4" applyBorder="1" applyAlignment="1">
      <alignment horizontal="right"/>
    </xf>
    <xf numFmtId="167" fontId="2" fillId="0" borderId="10" xfId="4" applyFont="1" applyBorder="1">
      <alignment vertical="top"/>
    </xf>
    <xf numFmtId="167" fontId="2" fillId="0" borderId="10" xfId="4" applyFont="1" applyBorder="1" applyAlignment="1">
      <alignment horizontal="right" vertical="top"/>
    </xf>
    <xf numFmtId="0" fontId="9" fillId="0" borderId="0" xfId="3" applyAlignment="1">
      <alignment vertical="top"/>
    </xf>
    <xf numFmtId="167" fontId="0" fillId="0" borderId="0" xfId="4" applyFont="1" applyAlignment="1">
      <alignment horizontal="left" indent="1"/>
    </xf>
    <xf numFmtId="165" fontId="7" fillId="0" borderId="0" xfId="0" applyNumberFormat="1" applyFont="1" applyAlignment="1">
      <alignment horizontal="right" indent="1"/>
    </xf>
    <xf numFmtId="3" fontId="0" fillId="0" borderId="0" xfId="0" applyNumberFormat="1"/>
    <xf numFmtId="0" fontId="4" fillId="3" borderId="11" xfId="0" applyFont="1" applyFill="1" applyBorder="1" applyAlignment="1">
      <alignment horizontal="right" vertical="center" indent="1"/>
    </xf>
    <xf numFmtId="14" fontId="17" fillId="6" borderId="11" xfId="0" applyNumberFormat="1" applyFont="1" applyFill="1" applyBorder="1" applyAlignment="1">
      <alignment horizontal="center" vertical="center" wrapText="1"/>
    </xf>
    <xf numFmtId="14" fontId="17" fillId="5" borderId="11" xfId="0" applyNumberFormat="1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wrapText="1"/>
    </xf>
    <xf numFmtId="0" fontId="16" fillId="0" borderId="9" xfId="0" applyFont="1" applyBorder="1" applyAlignment="1">
      <alignment horizontal="left" wrapText="1" indent="1"/>
    </xf>
    <xf numFmtId="3" fontId="0" fillId="7" borderId="9" xfId="0" applyNumberFormat="1" applyFill="1" applyBorder="1"/>
    <xf numFmtId="3" fontId="0" fillId="0" borderId="9" xfId="0" applyNumberFormat="1" applyBorder="1"/>
    <xf numFmtId="9" fontId="0" fillId="7" borderId="9" xfId="0" applyNumberFormat="1" applyFill="1" applyBorder="1"/>
    <xf numFmtId="0" fontId="16" fillId="0" borderId="0" xfId="0" applyFont="1" applyAlignment="1">
      <alignment horizontal="left" wrapText="1" indent="1"/>
    </xf>
    <xf numFmtId="3" fontId="0" fillId="7" borderId="0" xfId="0" applyNumberFormat="1" applyFill="1"/>
    <xf numFmtId="9" fontId="0" fillId="7" borderId="0" xfId="0" applyNumberFormat="1" applyFill="1"/>
    <xf numFmtId="0" fontId="17" fillId="5" borderId="7" xfId="0" applyFont="1" applyFill="1" applyBorder="1" applyAlignment="1">
      <alignment vertical="center"/>
    </xf>
    <xf numFmtId="3" fontId="17" fillId="7" borderId="7" xfId="0" applyNumberFormat="1" applyFont="1" applyFill="1" applyBorder="1" applyAlignment="1">
      <alignment horizontal="right" vertical="center" wrapText="1"/>
    </xf>
    <xf numFmtId="3" fontId="17" fillId="5" borderId="7" xfId="0" applyNumberFormat="1" applyFont="1" applyFill="1" applyBorder="1" applyAlignment="1">
      <alignment horizontal="right" vertical="center" wrapText="1"/>
    </xf>
    <xf numFmtId="9" fontId="2" fillId="7" borderId="7" xfId="0" applyNumberFormat="1" applyFont="1" applyFill="1" applyBorder="1" applyAlignment="1">
      <alignment vertical="center"/>
    </xf>
    <xf numFmtId="0" fontId="2" fillId="0" borderId="0" xfId="0" applyFont="1"/>
    <xf numFmtId="170" fontId="0" fillId="0" borderId="0" xfId="5" applyNumberFormat="1" applyFont="1"/>
    <xf numFmtId="167" fontId="23" fillId="0" borderId="0" xfId="4" applyFont="1" applyAlignment="1">
      <alignment horizontal="left" indent="2"/>
    </xf>
    <xf numFmtId="0" fontId="0" fillId="0" borderId="0" xfId="0" applyAlignment="1">
      <alignment horizontal="center"/>
    </xf>
    <xf numFmtId="168" fontId="12" fillId="0" borderId="2" xfId="4" applyNumberFormat="1" applyFont="1" applyBorder="1" applyAlignment="1">
      <alignment vertical="top" wrapText="1"/>
    </xf>
    <xf numFmtId="167" fontId="2" fillId="0" borderId="2" xfId="4" applyFont="1" applyBorder="1" applyAlignment="1">
      <alignment vertical="top" wrapText="1"/>
    </xf>
    <xf numFmtId="167" fontId="2" fillId="0" borderId="10" xfId="4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3" borderId="0" xfId="0" applyFont="1" applyFill="1" applyAlignment="1">
      <alignment horizontal="right" vertical="top" wrapText="1"/>
    </xf>
    <xf numFmtId="167" fontId="10" fillId="0" borderId="1" xfId="4" applyFont="1" applyBorder="1" applyAlignment="1">
      <alignment horizontal="left" vertical="top" wrapText="1"/>
    </xf>
    <xf numFmtId="167" fontId="11" fillId="0" borderId="0" xfId="4" applyFont="1" applyAlignment="1">
      <alignment horizontal="left" vertical="top" wrapText="1"/>
    </xf>
    <xf numFmtId="167" fontId="1" fillId="0" borderId="0" xfId="4" applyAlignment="1">
      <alignment horizontal="left" vertical="top" wrapText="1"/>
    </xf>
    <xf numFmtId="167" fontId="1" fillId="0" borderId="9" xfId="4" applyBorder="1" applyAlignment="1">
      <alignment horizontal="left" vertical="top" wrapText="1"/>
    </xf>
    <xf numFmtId="167" fontId="1" fillId="0" borderId="1" xfId="4" applyBorder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4" fillId="5" borderId="7" xfId="0" applyFont="1" applyFill="1" applyBorder="1" applyAlignment="1">
      <alignment vertical="top" wrapText="1"/>
    </xf>
    <xf numFmtId="0" fontId="14" fillId="5" borderId="10" xfId="0" applyFont="1" applyFill="1" applyBorder="1" applyAlignment="1">
      <alignment vertical="top" wrapText="1"/>
    </xf>
    <xf numFmtId="0" fontId="14" fillId="5" borderId="0" xfId="0" applyFont="1" applyFill="1" applyAlignment="1">
      <alignment vertical="top" wrapText="1"/>
    </xf>
    <xf numFmtId="0" fontId="4" fillId="3" borderId="0" xfId="0" applyFont="1" applyFill="1" applyAlignment="1">
      <alignment horizontal="right" vertical="top"/>
    </xf>
    <xf numFmtId="167" fontId="10" fillId="0" borderId="1" xfId="4" applyFont="1" applyBorder="1" applyAlignment="1">
      <alignment horizontal="right" vertical="top"/>
    </xf>
    <xf numFmtId="167" fontId="11" fillId="0" borderId="0" xfId="4" applyFont="1" applyAlignment="1">
      <alignment horizontal="right" vertical="top"/>
    </xf>
    <xf numFmtId="167" fontId="1" fillId="0" borderId="0" xfId="4" applyAlignment="1">
      <alignment horizontal="right" vertical="top"/>
    </xf>
    <xf numFmtId="167" fontId="1" fillId="0" borderId="1" xfId="4" applyBorder="1" applyAlignment="1">
      <alignment horizontal="right" vertical="top"/>
    </xf>
    <xf numFmtId="0" fontId="0" fillId="0" borderId="0" xfId="0" applyAlignment="1">
      <alignment vertical="top"/>
    </xf>
    <xf numFmtId="167" fontId="10" fillId="7" borderId="1" xfId="4" applyFont="1" applyFill="1" applyBorder="1" applyAlignment="1">
      <alignment horizontal="right" vertical="top"/>
    </xf>
    <xf numFmtId="167" fontId="11" fillId="7" borderId="0" xfId="4" applyFont="1" applyFill="1" applyAlignment="1">
      <alignment horizontal="right" vertical="top"/>
    </xf>
    <xf numFmtId="167" fontId="1" fillId="7" borderId="0" xfId="4" applyFill="1" applyAlignment="1">
      <alignment horizontal="right" vertical="top"/>
    </xf>
    <xf numFmtId="167" fontId="2" fillId="7" borderId="2" xfId="4" applyFont="1" applyFill="1" applyBorder="1" applyAlignment="1">
      <alignment horizontal="right" vertical="top"/>
    </xf>
    <xf numFmtId="167" fontId="1" fillId="7" borderId="1" xfId="4" applyFill="1" applyBorder="1" applyAlignment="1">
      <alignment horizontal="right" vertical="top"/>
    </xf>
    <xf numFmtId="167" fontId="2" fillId="7" borderId="10" xfId="4" applyFont="1" applyFill="1" applyBorder="1" applyAlignment="1">
      <alignment horizontal="right" vertical="top"/>
    </xf>
    <xf numFmtId="0" fontId="0" fillId="7" borderId="0" xfId="0" applyFill="1" applyAlignment="1">
      <alignment vertical="top"/>
    </xf>
    <xf numFmtId="169" fontId="15" fillId="7" borderId="7" xfId="1" applyNumberFormat="1" applyFont="1" applyFill="1" applyBorder="1" applyAlignment="1">
      <alignment horizontal="right" vertical="top" wrapText="1"/>
    </xf>
    <xf numFmtId="169" fontId="16" fillId="7" borderId="0" xfId="1" applyNumberFormat="1" applyFont="1" applyFill="1" applyAlignment="1">
      <alignment horizontal="right" vertical="top" wrapText="1"/>
    </xf>
    <xf numFmtId="169" fontId="13" fillId="7" borderId="0" xfId="1" applyNumberFormat="1" applyFont="1" applyFill="1" applyAlignment="1">
      <alignment horizontal="right" vertical="top" wrapText="1"/>
    </xf>
    <xf numFmtId="169" fontId="17" fillId="7" borderId="7" xfId="1" applyNumberFormat="1" applyFont="1" applyFill="1" applyBorder="1" applyAlignment="1">
      <alignment horizontal="right" vertical="top" wrapText="1"/>
    </xf>
    <xf numFmtId="169" fontId="18" fillId="7" borderId="0" xfId="1" applyNumberFormat="1" applyFont="1" applyFill="1" applyAlignment="1">
      <alignment horizontal="right" vertical="top" wrapText="1"/>
    </xf>
    <xf numFmtId="169" fontId="17" fillId="7" borderId="10" xfId="1" applyNumberFormat="1" applyFont="1" applyFill="1" applyBorder="1" applyAlignment="1">
      <alignment horizontal="right" vertical="top" wrapText="1"/>
    </xf>
    <xf numFmtId="169" fontId="17" fillId="7" borderId="0" xfId="1" applyNumberFormat="1" applyFont="1" applyFill="1" applyAlignment="1">
      <alignment horizontal="right" vertical="top" wrapText="1"/>
    </xf>
    <xf numFmtId="169" fontId="14" fillId="7" borderId="0" xfId="1" applyNumberFormat="1" applyFont="1" applyFill="1" applyAlignment="1">
      <alignment horizontal="right" vertical="top" wrapText="1"/>
    </xf>
    <xf numFmtId="169" fontId="15" fillId="0" borderId="7" xfId="1" applyNumberFormat="1" applyFont="1" applyFill="1" applyBorder="1" applyAlignment="1">
      <alignment horizontal="right" vertical="top" wrapText="1"/>
    </xf>
    <xf numFmtId="169" fontId="16" fillId="0" borderId="0" xfId="1" applyNumberFormat="1" applyFont="1" applyFill="1" applyAlignment="1">
      <alignment horizontal="right" vertical="top" wrapText="1"/>
    </xf>
    <xf numFmtId="169" fontId="13" fillId="0" borderId="0" xfId="1" applyNumberFormat="1" applyFont="1" applyFill="1" applyAlignment="1">
      <alignment horizontal="right" vertical="top" wrapText="1"/>
    </xf>
    <xf numFmtId="169" fontId="17" fillId="0" borderId="7" xfId="1" applyNumberFormat="1" applyFont="1" applyFill="1" applyBorder="1" applyAlignment="1">
      <alignment horizontal="right" vertical="top" wrapText="1"/>
    </xf>
    <xf numFmtId="169" fontId="18" fillId="0" borderId="0" xfId="1" applyNumberFormat="1" applyFont="1" applyFill="1" applyAlignment="1">
      <alignment horizontal="right" vertical="top" wrapText="1"/>
    </xf>
    <xf numFmtId="169" fontId="17" fillId="0" borderId="10" xfId="1" applyNumberFormat="1" applyFont="1" applyFill="1" applyBorder="1" applyAlignment="1">
      <alignment horizontal="right" vertical="top" wrapText="1"/>
    </xf>
    <xf numFmtId="169" fontId="17" fillId="0" borderId="0" xfId="1" applyNumberFormat="1" applyFont="1" applyFill="1" applyAlignment="1">
      <alignment horizontal="right" vertical="top" wrapText="1"/>
    </xf>
    <xf numFmtId="169" fontId="14" fillId="0" borderId="0" xfId="1" applyNumberFormat="1" applyFont="1" applyFill="1" applyAlignment="1">
      <alignment horizontal="right" vertical="top" wrapText="1"/>
    </xf>
    <xf numFmtId="167" fontId="10" fillId="7" borderId="1" xfId="4" applyFont="1" applyFill="1" applyBorder="1" applyAlignment="1">
      <alignment horizontal="right"/>
    </xf>
    <xf numFmtId="167" fontId="11" fillId="7" borderId="0" xfId="4" applyFont="1" applyFill="1" applyAlignment="1">
      <alignment horizontal="right"/>
    </xf>
    <xf numFmtId="167" fontId="1" fillId="7" borderId="0" xfId="4" applyFill="1" applyAlignment="1">
      <alignment horizontal="right"/>
    </xf>
    <xf numFmtId="167" fontId="1" fillId="7" borderId="1" xfId="4" applyFill="1" applyBorder="1" applyAlignment="1">
      <alignment horizontal="right"/>
    </xf>
    <xf numFmtId="0" fontId="4" fillId="3" borderId="16" xfId="0" applyFont="1" applyFill="1" applyBorder="1" applyAlignment="1">
      <alignment horizontal="right" vertical="top"/>
    </xf>
    <xf numFmtId="0" fontId="4" fillId="3" borderId="16" xfId="0" applyFont="1" applyFill="1" applyBorder="1" applyAlignment="1">
      <alignment horizontal="right" vertical="center" indent="1"/>
    </xf>
    <xf numFmtId="14" fontId="4" fillId="3" borderId="0" xfId="0" applyNumberFormat="1" applyFont="1" applyFill="1" applyAlignment="1">
      <alignment horizontal="right" vertical="top"/>
    </xf>
    <xf numFmtId="14" fontId="0" fillId="0" borderId="0" xfId="0" applyNumberFormat="1"/>
    <xf numFmtId="14" fontId="4" fillId="3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right"/>
    </xf>
    <xf numFmtId="169" fontId="0" fillId="0" borderId="0" xfId="1" applyNumberFormat="1" applyFont="1" applyAlignment="1">
      <alignment horizontal="right" vertical="top"/>
    </xf>
    <xf numFmtId="0" fontId="0" fillId="0" borderId="0" xfId="0" applyAlignment="1">
      <alignment horizontal="right" vertical="top"/>
    </xf>
    <xf numFmtId="14" fontId="4" fillId="3" borderId="0" xfId="0" applyNumberFormat="1" applyFont="1" applyFill="1" applyAlignment="1">
      <alignment horizontal="center" vertical="top"/>
    </xf>
    <xf numFmtId="14" fontId="0" fillId="0" borderId="0" xfId="0" applyNumberFormat="1" applyAlignment="1">
      <alignment horizontal="center"/>
    </xf>
    <xf numFmtId="0" fontId="4" fillId="3" borderId="16" xfId="0" applyFont="1" applyFill="1" applyBorder="1" applyAlignment="1">
      <alignment horizontal="center" vertical="top"/>
    </xf>
    <xf numFmtId="167" fontId="10" fillId="0" borderId="0" xfId="4" applyFont="1" applyFill="1" applyBorder="1" applyAlignment="1">
      <alignment horizontal="right" vertical="top"/>
    </xf>
    <xf numFmtId="0" fontId="26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 indent="1"/>
    </xf>
    <xf numFmtId="0" fontId="2" fillId="0" borderId="1" xfId="0" applyFont="1" applyBorder="1"/>
    <xf numFmtId="0" fontId="2" fillId="0" borderId="2" xfId="0" applyFont="1" applyBorder="1"/>
    <xf numFmtId="0" fontId="11" fillId="0" borderId="0" xfId="0" applyFont="1"/>
    <xf numFmtId="0" fontId="2" fillId="0" borderId="7" xfId="0" applyFont="1" applyBorder="1"/>
    <xf numFmtId="167" fontId="10" fillId="7" borderId="1" xfId="4" applyFont="1" applyFill="1" applyBorder="1">
      <alignment vertical="top"/>
    </xf>
    <xf numFmtId="167" fontId="11" fillId="7" borderId="1" xfId="4" applyFont="1" applyFill="1" applyBorder="1">
      <alignment vertical="top"/>
    </xf>
    <xf numFmtId="167" fontId="10" fillId="7" borderId="0" xfId="4" applyFont="1" applyFill="1" applyBorder="1">
      <alignment vertical="top"/>
    </xf>
    <xf numFmtId="167" fontId="11" fillId="7" borderId="9" xfId="4" applyFont="1" applyFill="1" applyBorder="1">
      <alignment vertical="top"/>
    </xf>
    <xf numFmtId="167" fontId="10" fillId="0" borderId="1" xfId="4" applyFont="1" applyFill="1" applyBorder="1">
      <alignment vertical="top"/>
    </xf>
    <xf numFmtId="167" fontId="11" fillId="0" borderId="0" xfId="4" applyFont="1" applyFill="1" applyAlignment="1">
      <alignment vertical="top" wrapText="1"/>
    </xf>
    <xf numFmtId="167" fontId="1" fillId="0" borderId="0" xfId="4" applyFill="1" applyAlignment="1">
      <alignment vertical="top" wrapText="1"/>
    </xf>
    <xf numFmtId="167" fontId="1" fillId="0" borderId="1" xfId="4" applyFill="1" applyBorder="1" applyAlignment="1">
      <alignment vertical="top" wrapText="1"/>
    </xf>
    <xf numFmtId="167" fontId="11" fillId="0" borderId="1" xfId="4" applyFont="1" applyFill="1" applyBorder="1">
      <alignment vertical="top"/>
    </xf>
    <xf numFmtId="167" fontId="10" fillId="0" borderId="0" xfId="4" applyFont="1" applyFill="1" applyBorder="1">
      <alignment vertical="top"/>
    </xf>
    <xf numFmtId="167" fontId="11" fillId="0" borderId="9" xfId="4" applyFont="1" applyFill="1" applyBorder="1">
      <alignment vertical="top"/>
    </xf>
    <xf numFmtId="167" fontId="2" fillId="0" borderId="10" xfId="4" applyFont="1" applyFill="1" applyBorder="1" applyAlignment="1">
      <alignment vertical="top" wrapText="1"/>
    </xf>
    <xf numFmtId="167" fontId="11" fillId="7" borderId="0" xfId="4" applyFont="1" applyFill="1" applyAlignment="1">
      <alignment vertical="top" wrapText="1"/>
    </xf>
    <xf numFmtId="167" fontId="1" fillId="7" borderId="0" xfId="4" applyFill="1" applyAlignment="1">
      <alignment vertical="top" wrapText="1"/>
    </xf>
    <xf numFmtId="167" fontId="1" fillId="7" borderId="1" xfId="4" applyFill="1" applyBorder="1" applyAlignment="1">
      <alignment vertical="top" wrapText="1"/>
    </xf>
    <xf numFmtId="167" fontId="2" fillId="7" borderId="10" xfId="4" applyFont="1" applyFill="1" applyBorder="1" applyAlignment="1">
      <alignment vertical="top" wrapText="1"/>
    </xf>
    <xf numFmtId="167" fontId="10" fillId="0" borderId="1" xfId="4" applyFont="1" applyFill="1" applyBorder="1" applyAlignment="1">
      <alignment horizontal="right" vertical="top"/>
    </xf>
    <xf numFmtId="167" fontId="11" fillId="0" borderId="0" xfId="4" applyFont="1" applyFill="1" applyAlignment="1">
      <alignment horizontal="right" vertical="top"/>
    </xf>
    <xf numFmtId="167" fontId="1" fillId="0" borderId="0" xfId="4" applyFill="1" applyAlignment="1">
      <alignment horizontal="right" vertical="top"/>
    </xf>
    <xf numFmtId="167" fontId="2" fillId="0" borderId="2" xfId="4" applyFont="1" applyFill="1" applyBorder="1" applyAlignment="1">
      <alignment horizontal="right" vertical="top"/>
    </xf>
    <xf numFmtId="167" fontId="1" fillId="0" borderId="1" xfId="4" applyFill="1" applyBorder="1" applyAlignment="1">
      <alignment horizontal="right" vertical="top"/>
    </xf>
    <xf numFmtId="167" fontId="2" fillId="0" borderId="10" xfId="4" applyFont="1" applyFill="1" applyBorder="1" applyAlignment="1">
      <alignment horizontal="right" vertical="top"/>
    </xf>
    <xf numFmtId="0" fontId="23" fillId="0" borderId="0" xfId="0" applyFont="1" applyAlignment="1">
      <alignment vertical="top"/>
    </xf>
    <xf numFmtId="0" fontId="23" fillId="0" borderId="0" xfId="0" applyFont="1"/>
    <xf numFmtId="14" fontId="17" fillId="7" borderId="1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/>
    </xf>
    <xf numFmtId="0" fontId="0" fillId="0" borderId="17" xfId="0" applyBorder="1"/>
    <xf numFmtId="3" fontId="0" fillId="7" borderId="17" xfId="0" applyNumberFormat="1" applyFill="1" applyBorder="1"/>
    <xf numFmtId="3" fontId="0" fillId="0" borderId="17" xfId="0" applyNumberFormat="1" applyBorder="1"/>
    <xf numFmtId="0" fontId="26" fillId="3" borderId="18" xfId="0" applyFont="1" applyFill="1" applyBorder="1" applyAlignment="1">
      <alignment horizontal="center" vertical="center"/>
    </xf>
    <xf numFmtId="14" fontId="26" fillId="3" borderId="18" xfId="0" applyNumberFormat="1" applyFont="1" applyFill="1" applyBorder="1" applyAlignment="1">
      <alignment horizontal="center" vertical="center"/>
    </xf>
    <xf numFmtId="167" fontId="10" fillId="7" borderId="2" xfId="4" applyFont="1" applyFill="1" applyBorder="1">
      <alignment vertical="top"/>
    </xf>
    <xf numFmtId="167" fontId="10" fillId="0" borderId="2" xfId="4" applyFont="1" applyFill="1" applyBorder="1">
      <alignment vertical="top"/>
    </xf>
    <xf numFmtId="3" fontId="23" fillId="0" borderId="0" xfId="0" applyNumberFormat="1" applyFont="1" applyAlignment="1">
      <alignment horizontal="right"/>
    </xf>
    <xf numFmtId="3" fontId="26" fillId="3" borderId="0" xfId="0" applyNumberFormat="1" applyFont="1" applyFill="1" applyAlignment="1">
      <alignment horizontal="left" vertical="center"/>
    </xf>
    <xf numFmtId="164" fontId="0" fillId="0" borderId="0" xfId="0" applyNumberFormat="1"/>
    <xf numFmtId="0" fontId="14" fillId="5" borderId="21" xfId="0" applyFont="1" applyFill="1" applyBorder="1" applyAlignment="1">
      <alignment vertical="top" wrapText="1"/>
    </xf>
    <xf numFmtId="169" fontId="17" fillId="7" borderId="21" xfId="1" applyNumberFormat="1" applyFont="1" applyFill="1" applyBorder="1" applyAlignment="1">
      <alignment horizontal="right" vertical="top" wrapText="1"/>
    </xf>
    <xf numFmtId="169" fontId="17" fillId="0" borderId="21" xfId="1" applyNumberFormat="1" applyFont="1" applyFill="1" applyBorder="1" applyAlignment="1">
      <alignment horizontal="right" vertical="top" wrapText="1"/>
    </xf>
    <xf numFmtId="0" fontId="27" fillId="8" borderId="22" xfId="0" applyFont="1" applyFill="1" applyBorder="1" applyAlignment="1">
      <alignment horizontal="left" vertical="center" indent="1"/>
    </xf>
    <xf numFmtId="0" fontId="28" fillId="5" borderId="22" xfId="0" applyFont="1" applyFill="1" applyBorder="1" applyAlignment="1">
      <alignment vertical="top" wrapText="1"/>
    </xf>
    <xf numFmtId="169" fontId="27" fillId="7" borderId="22" xfId="1" applyNumberFormat="1" applyFont="1" applyFill="1" applyBorder="1" applyAlignment="1">
      <alignment horizontal="right" vertical="top" wrapText="1"/>
    </xf>
    <xf numFmtId="169" fontId="27" fillId="0" borderId="22" xfId="1" applyNumberFormat="1" applyFont="1" applyFill="1" applyBorder="1" applyAlignment="1">
      <alignment horizontal="right" vertical="top" wrapText="1"/>
    </xf>
    <xf numFmtId="0" fontId="4" fillId="3" borderId="24" xfId="0" applyFont="1" applyFill="1" applyBorder="1" applyAlignment="1">
      <alignment horizontal="right" vertical="center" indent="1"/>
    </xf>
    <xf numFmtId="0" fontId="4" fillId="3" borderId="7" xfId="0" applyFont="1" applyFill="1" applyBorder="1" applyAlignment="1">
      <alignment horizontal="right" vertical="center" indent="1"/>
    </xf>
    <xf numFmtId="0" fontId="4" fillId="3" borderId="25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horizontal="right" vertical="center" indent="1"/>
    </xf>
    <xf numFmtId="0" fontId="30" fillId="0" borderId="26" xfId="0" applyFont="1" applyBorder="1" applyAlignment="1">
      <alignment horizontal="left" vertical="center" wrapText="1"/>
    </xf>
    <xf numFmtId="3" fontId="0" fillId="0" borderId="27" xfId="0" applyNumberFormat="1" applyBorder="1"/>
    <xf numFmtId="3" fontId="0" fillId="0" borderId="28" xfId="0" applyNumberFormat="1" applyBorder="1"/>
    <xf numFmtId="0" fontId="30" fillId="0" borderId="29" xfId="0" applyFont="1" applyBorder="1" applyAlignment="1">
      <alignment horizontal="left" vertical="center" wrapText="1"/>
    </xf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0" fontId="31" fillId="0" borderId="33" xfId="0" applyFont="1" applyBorder="1" applyAlignment="1">
      <alignment horizontal="left" vertical="center" wrapText="1"/>
    </xf>
    <xf numFmtId="3" fontId="2" fillId="0" borderId="34" xfId="0" applyNumberFormat="1" applyFont="1" applyBorder="1"/>
    <xf numFmtId="0" fontId="30" fillId="0" borderId="33" xfId="0" applyFont="1" applyBorder="1" applyAlignment="1">
      <alignment horizontal="left" vertical="center" wrapText="1"/>
    </xf>
    <xf numFmtId="3" fontId="0" fillId="0" borderId="35" xfId="0" applyNumberFormat="1" applyBorder="1"/>
    <xf numFmtId="3" fontId="0" fillId="0" borderId="36" xfId="0" applyNumberFormat="1" applyBorder="1"/>
    <xf numFmtId="0" fontId="31" fillId="0" borderId="24" xfId="0" applyFont="1" applyBorder="1" applyAlignment="1">
      <alignment horizontal="left" vertical="center" wrapText="1"/>
    </xf>
    <xf numFmtId="3" fontId="2" fillId="0" borderId="37" xfId="0" applyNumberFormat="1" applyFont="1" applyBorder="1"/>
    <xf numFmtId="3" fontId="2" fillId="0" borderId="38" xfId="0" applyNumberFormat="1" applyFont="1" applyBorder="1"/>
    <xf numFmtId="0" fontId="4" fillId="3" borderId="24" xfId="0" applyFont="1" applyFill="1" applyBorder="1" applyAlignment="1">
      <alignment horizontal="left" vertical="center" indent="1"/>
    </xf>
    <xf numFmtId="0" fontId="30" fillId="0" borderId="39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3" fontId="2" fillId="0" borderId="0" xfId="0" applyNumberFormat="1" applyFont="1"/>
    <xf numFmtId="171" fontId="0" fillId="0" borderId="27" xfId="0" applyNumberFormat="1" applyBorder="1"/>
    <xf numFmtId="171" fontId="0" fillId="0" borderId="28" xfId="0" applyNumberFormat="1" applyBorder="1"/>
    <xf numFmtId="171" fontId="0" fillId="0" borderId="30" xfId="0" applyNumberFormat="1" applyBorder="1"/>
    <xf numFmtId="171" fontId="0" fillId="0" borderId="31" xfId="0" applyNumberFormat="1" applyBorder="1"/>
    <xf numFmtId="0" fontId="30" fillId="0" borderId="43" xfId="0" applyFont="1" applyBorder="1" applyAlignment="1">
      <alignment horizontal="left" vertical="center" wrapText="1"/>
    </xf>
    <xf numFmtId="4" fontId="0" fillId="0" borderId="36" xfId="0" applyNumberFormat="1" applyBorder="1"/>
    <xf numFmtId="171" fontId="0" fillId="0" borderId="0" xfId="0" applyNumberFormat="1"/>
    <xf numFmtId="0" fontId="4" fillId="3" borderId="24" xfId="0" applyFont="1" applyFill="1" applyBorder="1" applyAlignment="1">
      <alignment horizontal="left" vertical="center" wrapText="1" indent="1"/>
    </xf>
    <xf numFmtId="3" fontId="0" fillId="0" borderId="44" xfId="0" applyNumberFormat="1" applyBorder="1"/>
    <xf numFmtId="3" fontId="0" fillId="0" borderId="45" xfId="0" applyNumberFormat="1" applyBorder="1"/>
    <xf numFmtId="167" fontId="1" fillId="8" borderId="1" xfId="4" applyFill="1" applyBorder="1" applyAlignment="1">
      <alignment vertical="top" wrapText="1"/>
    </xf>
    <xf numFmtId="167" fontId="11" fillId="8" borderId="0" xfId="4" applyFont="1" applyFill="1" applyAlignment="1">
      <alignment vertical="top" wrapText="1"/>
    </xf>
    <xf numFmtId="0" fontId="0" fillId="8" borderId="0" xfId="0" applyFill="1" applyAlignment="1">
      <alignment vertical="top" wrapText="1"/>
    </xf>
    <xf numFmtId="167" fontId="11" fillId="7" borderId="0" xfId="4" applyFont="1" applyFill="1" applyBorder="1">
      <alignment vertical="top"/>
    </xf>
    <xf numFmtId="167" fontId="11" fillId="0" borderId="0" xfId="4" applyFont="1" applyFill="1" applyBorder="1">
      <alignment vertical="top"/>
    </xf>
    <xf numFmtId="0" fontId="18" fillId="5" borderId="0" xfId="6" applyFont="1" applyFill="1" applyAlignment="1">
      <alignment horizontal="left" vertical="center" indent="1"/>
    </xf>
    <xf numFmtId="167" fontId="1" fillId="0" borderId="0" xfId="4" applyAlignment="1">
      <alignment horizontal="left" vertical="top" wrapText="1" indent="1"/>
    </xf>
    <xf numFmtId="0" fontId="30" fillId="0" borderId="46" xfId="0" applyFont="1" applyBorder="1" applyAlignment="1">
      <alignment horizontal="left" vertical="center" wrapText="1"/>
    </xf>
    <xf numFmtId="0" fontId="30" fillId="0" borderId="47" xfId="0" applyFont="1" applyBorder="1" applyAlignment="1">
      <alignment horizontal="left" vertical="center" wrapText="1"/>
    </xf>
    <xf numFmtId="171" fontId="2" fillId="0" borderId="38" xfId="0" applyNumberFormat="1" applyFont="1" applyBorder="1"/>
    <xf numFmtId="171" fontId="0" fillId="0" borderId="49" xfId="0" applyNumberFormat="1" applyBorder="1"/>
    <xf numFmtId="171" fontId="0" fillId="0" borderId="50" xfId="0" applyNumberFormat="1" applyBorder="1"/>
    <xf numFmtId="0" fontId="4" fillId="3" borderId="19" xfId="0" applyFont="1" applyFill="1" applyBorder="1" applyAlignment="1">
      <alignment horizontal="right" vertical="center" indent="1"/>
    </xf>
    <xf numFmtId="0" fontId="4" fillId="3" borderId="38" xfId="0" applyFont="1" applyFill="1" applyBorder="1" applyAlignment="1">
      <alignment horizontal="right" vertical="center" indent="1"/>
    </xf>
    <xf numFmtId="3" fontId="2" fillId="0" borderId="51" xfId="0" applyNumberFormat="1" applyFont="1" applyBorder="1"/>
    <xf numFmtId="171" fontId="0" fillId="0" borderId="52" xfId="0" applyNumberFormat="1" applyBorder="1"/>
    <xf numFmtId="171" fontId="0" fillId="0" borderId="42" xfId="0" applyNumberFormat="1" applyBorder="1"/>
    <xf numFmtId="167" fontId="33" fillId="9" borderId="0" xfId="17" applyFont="1" applyFill="1" applyBorder="1" applyAlignment="1"/>
    <xf numFmtId="174" fontId="34" fillId="10" borderId="7" xfId="0" applyNumberFormat="1" applyFont="1" applyFill="1" applyBorder="1" applyAlignment="1">
      <alignment horizontal="center" vertical="center" wrapText="1"/>
    </xf>
    <xf numFmtId="14" fontId="34" fillId="10" borderId="7" xfId="0" applyNumberFormat="1" applyFont="1" applyFill="1" applyBorder="1" applyAlignment="1">
      <alignment horizontal="center" vertical="center" wrapText="1"/>
    </xf>
    <xf numFmtId="14" fontId="34" fillId="10" borderId="7" xfId="0" applyNumberFormat="1" applyFont="1" applyFill="1" applyBorder="1" applyAlignment="1">
      <alignment horizontal="center" wrapText="1"/>
    </xf>
    <xf numFmtId="0" fontId="35" fillId="11" borderId="1" xfId="0" applyFont="1" applyFill="1" applyBorder="1" applyAlignment="1">
      <alignment vertical="center"/>
    </xf>
    <xf numFmtId="167" fontId="35" fillId="0" borderId="1" xfId="0" applyNumberFormat="1" applyFont="1" applyBorder="1" applyAlignment="1">
      <alignment horizontal="center"/>
    </xf>
    <xf numFmtId="167" fontId="35" fillId="12" borderId="1" xfId="0" applyNumberFormat="1" applyFont="1" applyFill="1" applyBorder="1" applyAlignment="1">
      <alignment horizontal="center"/>
    </xf>
    <xf numFmtId="0" fontId="36" fillId="11" borderId="0" xfId="0" applyFont="1" applyFill="1" applyAlignment="1">
      <alignment horizontal="left" vertical="center" indent="1"/>
    </xf>
    <xf numFmtId="167" fontId="36" fillId="0" borderId="0" xfId="51" applyFont="1" applyFill="1" applyBorder="1" applyAlignment="1">
      <alignment horizontal="center"/>
    </xf>
    <xf numFmtId="167" fontId="36" fillId="12" borderId="0" xfId="51" applyFont="1" applyFill="1" applyBorder="1" applyAlignment="1">
      <alignment horizontal="center"/>
    </xf>
    <xf numFmtId="0" fontId="35" fillId="11" borderId="53" xfId="0" applyFont="1" applyFill="1" applyBorder="1" applyAlignment="1">
      <alignment vertical="center"/>
    </xf>
    <xf numFmtId="167" fontId="35" fillId="0" borderId="53" xfId="51" applyFont="1" applyFill="1" applyBorder="1" applyAlignment="1">
      <alignment horizontal="center"/>
    </xf>
    <xf numFmtId="167" fontId="35" fillId="12" borderId="53" xfId="51" applyFont="1" applyFill="1" applyBorder="1" applyAlignment="1">
      <alignment horizontal="center"/>
    </xf>
    <xf numFmtId="0" fontId="37" fillId="0" borderId="0" xfId="0" applyFont="1"/>
    <xf numFmtId="167" fontId="37" fillId="0" borderId="0" xfId="0" applyNumberFormat="1" applyFont="1"/>
    <xf numFmtId="167" fontId="34" fillId="10" borderId="7" xfId="0" applyNumberFormat="1" applyFont="1" applyFill="1" applyBorder="1" applyAlignment="1">
      <alignment horizontal="center" vertical="center" wrapText="1"/>
    </xf>
    <xf numFmtId="167" fontId="34" fillId="10" borderId="7" xfId="0" applyNumberFormat="1" applyFont="1" applyFill="1" applyBorder="1" applyAlignment="1">
      <alignment horizontal="center" wrapText="1"/>
    </xf>
    <xf numFmtId="0" fontId="38" fillId="0" borderId="48" xfId="0" applyFont="1" applyBorder="1" applyAlignment="1">
      <alignment horizontal="left" vertical="center" wrapText="1" indent="1"/>
    </xf>
    <xf numFmtId="3" fontId="7" fillId="0" borderId="40" xfId="0" applyNumberFormat="1" applyFont="1" applyBorder="1"/>
    <xf numFmtId="172" fontId="7" fillId="0" borderId="40" xfId="1" applyNumberFormat="1" applyFont="1" applyBorder="1"/>
    <xf numFmtId="0" fontId="17" fillId="5" borderId="53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26" fillId="3" borderId="13" xfId="0" applyFont="1" applyFill="1" applyBorder="1" applyAlignment="1">
      <alignment horizontal="left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0" fillId="0" borderId="14" xfId="0" applyBorder="1"/>
    <xf numFmtId="0" fontId="17" fillId="5" borderId="15" xfId="0" applyFont="1" applyFill="1" applyBorder="1" applyAlignment="1">
      <alignment vertical="center"/>
    </xf>
    <xf numFmtId="0" fontId="18" fillId="5" borderId="14" xfId="0" applyFont="1" applyFill="1" applyBorder="1" applyAlignment="1">
      <alignment horizontal="left" vertical="center" indent="1"/>
    </xf>
    <xf numFmtId="0" fontId="17" fillId="5" borderId="57" xfId="0" applyFont="1" applyFill="1" applyBorder="1" applyAlignment="1">
      <alignment vertical="center"/>
    </xf>
    <xf numFmtId="3" fontId="0" fillId="7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7" borderId="17" xfId="0" applyNumberFormat="1" applyFill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8" borderId="0" xfId="0" applyNumberFormat="1" applyFill="1" applyAlignment="1">
      <alignment horizontal="center"/>
    </xf>
    <xf numFmtId="3" fontId="0" fillId="8" borderId="17" xfId="0" applyNumberFormat="1" applyFill="1" applyBorder="1" applyAlignment="1">
      <alignment horizontal="center"/>
    </xf>
    <xf numFmtId="0" fontId="26" fillId="3" borderId="13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left" vertical="center" wrapText="1"/>
    </xf>
    <xf numFmtId="2" fontId="0" fillId="0" borderId="0" xfId="0" applyNumberFormat="1" applyAlignment="1">
      <alignment vertical="top"/>
    </xf>
    <xf numFmtId="169" fontId="15" fillId="8" borderId="7" xfId="1" applyNumberFormat="1" applyFont="1" applyFill="1" applyBorder="1" applyAlignment="1">
      <alignment horizontal="right" vertical="top" wrapText="1"/>
    </xf>
    <xf numFmtId="169" fontId="16" fillId="8" borderId="0" xfId="1" applyNumberFormat="1" applyFont="1" applyFill="1" applyAlignment="1">
      <alignment horizontal="right" vertical="top" wrapText="1"/>
    </xf>
    <xf numFmtId="169" fontId="13" fillId="8" borderId="0" xfId="1" applyNumberFormat="1" applyFont="1" applyFill="1" applyAlignment="1">
      <alignment horizontal="right" vertical="top" wrapText="1"/>
    </xf>
    <xf numFmtId="169" fontId="17" fillId="8" borderId="7" xfId="1" applyNumberFormat="1" applyFont="1" applyFill="1" applyBorder="1" applyAlignment="1">
      <alignment horizontal="right" vertical="top" wrapText="1"/>
    </xf>
    <xf numFmtId="169" fontId="18" fillId="8" borderId="0" xfId="1" applyNumberFormat="1" applyFont="1" applyFill="1" applyAlignment="1">
      <alignment horizontal="right" vertical="top" wrapText="1"/>
    </xf>
    <xf numFmtId="169" fontId="17" fillId="8" borderId="10" xfId="1" applyNumberFormat="1" applyFont="1" applyFill="1" applyBorder="1" applyAlignment="1">
      <alignment horizontal="right" vertical="top" wrapText="1"/>
    </xf>
    <xf numFmtId="169" fontId="17" fillId="8" borderId="0" xfId="1" applyNumberFormat="1" applyFont="1" applyFill="1" applyAlignment="1">
      <alignment horizontal="right" vertical="top" wrapText="1"/>
    </xf>
    <xf numFmtId="167" fontId="10" fillId="8" borderId="1" xfId="4" applyFont="1" applyFill="1" applyBorder="1" applyAlignment="1">
      <alignment horizontal="right" vertical="top"/>
    </xf>
    <xf numFmtId="167" fontId="11" fillId="8" borderId="0" xfId="4" applyFont="1" applyFill="1" applyAlignment="1">
      <alignment horizontal="right" vertical="top"/>
    </xf>
    <xf numFmtId="167" fontId="1" fillId="8" borderId="0" xfId="4" applyFill="1" applyAlignment="1">
      <alignment horizontal="right" vertical="top"/>
    </xf>
    <xf numFmtId="167" fontId="2" fillId="8" borderId="2" xfId="4" applyFont="1" applyFill="1" applyBorder="1" applyAlignment="1">
      <alignment horizontal="right" vertical="top"/>
    </xf>
    <xf numFmtId="167" fontId="1" fillId="8" borderId="1" xfId="4" applyFill="1" applyBorder="1" applyAlignment="1">
      <alignment horizontal="right" vertical="top"/>
    </xf>
    <xf numFmtId="167" fontId="2" fillId="8" borderId="10" xfId="4" applyFont="1" applyFill="1" applyBorder="1" applyAlignment="1">
      <alignment horizontal="right" vertical="top"/>
    </xf>
    <xf numFmtId="0" fontId="4" fillId="3" borderId="37" xfId="0" applyFont="1" applyFill="1" applyBorder="1" applyAlignment="1">
      <alignment horizontal="right" vertical="center" indent="1"/>
    </xf>
    <xf numFmtId="0" fontId="4" fillId="3" borderId="20" xfId="0" applyFont="1" applyFill="1" applyBorder="1" applyAlignment="1">
      <alignment horizontal="left" vertical="center" indent="1"/>
    </xf>
    <xf numFmtId="0" fontId="30" fillId="0" borderId="62" xfId="0" applyFont="1" applyBorder="1" applyAlignment="1">
      <alignment horizontal="left" vertical="center" wrapText="1"/>
    </xf>
    <xf numFmtId="0" fontId="30" fillId="0" borderId="63" xfId="0" applyFont="1" applyBorder="1" applyAlignment="1">
      <alignment horizontal="left" vertical="center" wrapText="1"/>
    </xf>
    <xf numFmtId="0" fontId="30" fillId="0" borderId="64" xfId="0" applyFont="1" applyBorder="1" applyAlignment="1">
      <alignment horizontal="left" vertical="center" wrapText="1"/>
    </xf>
    <xf numFmtId="0" fontId="4" fillId="3" borderId="65" xfId="0" applyFont="1" applyFill="1" applyBorder="1" applyAlignment="1">
      <alignment horizontal="right" vertical="center" indent="1"/>
    </xf>
    <xf numFmtId="0" fontId="4" fillId="3" borderId="13" xfId="0" applyFont="1" applyFill="1" applyBorder="1" applyAlignment="1">
      <alignment horizontal="right" vertical="center" indent="1"/>
    </xf>
    <xf numFmtId="3" fontId="0" fillId="0" borderId="42" xfId="0" applyNumberFormat="1" applyBorder="1"/>
    <xf numFmtId="3" fontId="2" fillId="0" borderId="48" xfId="0" applyNumberFormat="1" applyFont="1" applyBorder="1"/>
    <xf numFmtId="172" fontId="0" fillId="0" borderId="45" xfId="1" applyNumberFormat="1" applyFont="1" applyBorder="1"/>
    <xf numFmtId="167" fontId="1" fillId="8" borderId="9" xfId="4" applyFill="1" applyBorder="1" applyAlignment="1">
      <alignment horizontal="right" vertical="top"/>
    </xf>
    <xf numFmtId="169" fontId="17" fillId="7" borderId="9" xfId="1" applyNumberFormat="1" applyFont="1" applyFill="1" applyBorder="1" applyAlignment="1">
      <alignment horizontal="right" vertical="top" wrapText="1"/>
    </xf>
    <xf numFmtId="169" fontId="17" fillId="0" borderId="9" xfId="1" applyNumberFormat="1" applyFont="1" applyFill="1" applyBorder="1" applyAlignment="1">
      <alignment horizontal="right" vertical="top" wrapText="1"/>
    </xf>
    <xf numFmtId="169" fontId="15" fillId="7" borderId="22" xfId="1" applyNumberFormat="1" applyFont="1" applyFill="1" applyBorder="1" applyAlignment="1">
      <alignment horizontal="right" vertical="top" wrapText="1"/>
    </xf>
    <xf numFmtId="169" fontId="15" fillId="0" borderId="22" xfId="1" applyNumberFormat="1" applyFont="1" applyFill="1" applyBorder="1" applyAlignment="1">
      <alignment horizontal="right" vertical="top" wrapText="1"/>
    </xf>
    <xf numFmtId="172" fontId="16" fillId="0" borderId="0" xfId="1" applyNumberFormat="1" applyFont="1" applyFill="1" applyAlignment="1">
      <alignment horizontal="right" vertical="top" wrapText="1"/>
    </xf>
    <xf numFmtId="172" fontId="16" fillId="7" borderId="0" xfId="1" applyNumberFormat="1" applyFont="1" applyFill="1" applyAlignment="1">
      <alignment horizontal="right" vertical="top" wrapText="1"/>
    </xf>
    <xf numFmtId="0" fontId="0" fillId="0" borderId="58" xfId="0" applyBorder="1" applyAlignment="1">
      <alignment horizontal="center"/>
    </xf>
    <xf numFmtId="169" fontId="17" fillId="7" borderId="0" xfId="1" applyNumberFormat="1" applyFont="1" applyFill="1" applyBorder="1" applyAlignment="1">
      <alignment horizontal="right" vertical="top" wrapText="1"/>
    </xf>
    <xf numFmtId="169" fontId="17" fillId="0" borderId="0" xfId="1" applyNumberFormat="1" applyFont="1" applyFill="1" applyBorder="1" applyAlignment="1">
      <alignment horizontal="right" vertical="top" wrapText="1"/>
    </xf>
    <xf numFmtId="169" fontId="18" fillId="0" borderId="0" xfId="1" applyNumberFormat="1" applyFont="1" applyFill="1" applyBorder="1" applyAlignment="1">
      <alignment horizontal="right" vertical="top" wrapText="1"/>
    </xf>
    <xf numFmtId="169" fontId="18" fillId="7" borderId="0" xfId="1" applyNumberFormat="1" applyFont="1" applyFill="1" applyBorder="1" applyAlignment="1">
      <alignment horizontal="right" vertical="top" wrapText="1"/>
    </xf>
    <xf numFmtId="169" fontId="15" fillId="7" borderId="0" xfId="1" applyNumberFormat="1" applyFont="1" applyFill="1" applyBorder="1" applyAlignment="1">
      <alignment horizontal="right" vertical="top" wrapText="1"/>
    </xf>
    <xf numFmtId="169" fontId="15" fillId="0" borderId="0" xfId="1" applyNumberFormat="1" applyFont="1" applyFill="1" applyBorder="1" applyAlignment="1">
      <alignment horizontal="right" vertical="top" wrapText="1"/>
    </xf>
    <xf numFmtId="169" fontId="16" fillId="0" borderId="0" xfId="1" applyNumberFormat="1" applyFont="1" applyFill="1" applyBorder="1" applyAlignment="1">
      <alignment horizontal="right" vertical="top" wrapText="1"/>
    </xf>
    <xf numFmtId="176" fontId="0" fillId="0" borderId="0" xfId="0" applyNumberFormat="1"/>
    <xf numFmtId="167" fontId="2" fillId="0" borderId="10" xfId="4" applyNumberFormat="1" applyFont="1" applyBorder="1" applyAlignment="1">
      <alignment horizontal="right" vertical="top"/>
    </xf>
    <xf numFmtId="169" fontId="27" fillId="7" borderId="0" xfId="1" applyNumberFormat="1" applyFont="1" applyFill="1" applyBorder="1" applyAlignment="1">
      <alignment horizontal="right" vertical="top" wrapText="1"/>
    </xf>
    <xf numFmtId="169" fontId="29" fillId="7" borderId="0" xfId="1" applyNumberFormat="1" applyFont="1" applyFill="1" applyBorder="1" applyAlignment="1">
      <alignment horizontal="right" vertical="top" wrapText="1"/>
    </xf>
    <xf numFmtId="0" fontId="27" fillId="8" borderId="0" xfId="0" applyFont="1" applyFill="1" applyBorder="1" applyAlignment="1">
      <alignment horizontal="left" vertical="center" indent="1"/>
    </xf>
    <xf numFmtId="0" fontId="28" fillId="5" borderId="0" xfId="0" applyFont="1" applyFill="1" applyBorder="1" applyAlignment="1">
      <alignment vertical="top" wrapText="1"/>
    </xf>
    <xf numFmtId="169" fontId="27" fillId="0" borderId="0" xfId="1" applyNumberFormat="1" applyFont="1" applyFill="1" applyBorder="1" applyAlignment="1">
      <alignment horizontal="right" vertical="top" wrapText="1"/>
    </xf>
    <xf numFmtId="0" fontId="27" fillId="8" borderId="66" xfId="0" applyFont="1" applyFill="1" applyBorder="1" applyAlignment="1">
      <alignment horizontal="left" vertical="center" indent="1"/>
    </xf>
    <xf numFmtId="0" fontId="28" fillId="5" borderId="66" xfId="0" applyFont="1" applyFill="1" applyBorder="1" applyAlignment="1">
      <alignment vertical="top" wrapText="1"/>
    </xf>
    <xf numFmtId="169" fontId="29" fillId="7" borderId="66" xfId="1" applyNumberFormat="1" applyFont="1" applyFill="1" applyBorder="1" applyAlignment="1">
      <alignment horizontal="right" vertical="top" wrapText="1"/>
    </xf>
    <xf numFmtId="169" fontId="29" fillId="0" borderId="66" xfId="1" applyNumberFormat="1" applyFont="1" applyFill="1" applyBorder="1" applyAlignment="1">
      <alignment horizontal="right" vertical="top" wrapText="1"/>
    </xf>
    <xf numFmtId="0" fontId="14" fillId="5" borderId="11" xfId="0" applyFont="1" applyFill="1" applyBorder="1" applyAlignment="1">
      <alignment vertical="top" wrapText="1"/>
    </xf>
    <xf numFmtId="169" fontId="17" fillId="7" borderId="11" xfId="1" applyNumberFormat="1" applyFont="1" applyFill="1" applyBorder="1" applyAlignment="1">
      <alignment horizontal="right" vertical="top" wrapText="1"/>
    </xf>
    <xf numFmtId="169" fontId="17" fillId="0" borderId="11" xfId="1" applyNumberFormat="1" applyFont="1" applyFill="1" applyBorder="1" applyAlignment="1">
      <alignment horizontal="right" vertical="top" wrapText="1"/>
    </xf>
    <xf numFmtId="0" fontId="27" fillId="0" borderId="0" xfId="0" applyFont="1" applyBorder="1" applyAlignment="1">
      <alignment horizontal="left" vertical="center" indent="1"/>
    </xf>
    <xf numFmtId="0" fontId="28" fillId="5" borderId="12" xfId="0" applyFont="1" applyFill="1" applyBorder="1" applyAlignment="1">
      <alignment vertical="top" wrapText="1"/>
    </xf>
    <xf numFmtId="169" fontId="15" fillId="7" borderId="11" xfId="1" applyNumberFormat="1" applyFont="1" applyFill="1" applyBorder="1" applyAlignment="1">
      <alignment horizontal="right" vertical="top" wrapText="1"/>
    </xf>
    <xf numFmtId="169" fontId="15" fillId="0" borderId="11" xfId="1" applyNumberFormat="1" applyFont="1" applyFill="1" applyBorder="1" applyAlignment="1">
      <alignment horizontal="right" vertical="top" wrapText="1"/>
    </xf>
    <xf numFmtId="169" fontId="29" fillId="0" borderId="0" xfId="1" applyNumberFormat="1" applyFont="1" applyFill="1" applyBorder="1" applyAlignment="1">
      <alignment horizontal="right" vertical="top" wrapText="1"/>
    </xf>
    <xf numFmtId="169" fontId="27" fillId="7" borderId="66" xfId="1" applyNumberFormat="1" applyFont="1" applyFill="1" applyBorder="1" applyAlignment="1">
      <alignment horizontal="right" vertical="top" wrapText="1"/>
    </xf>
    <xf numFmtId="169" fontId="27" fillId="0" borderId="66" xfId="1" applyNumberFormat="1" applyFont="1" applyFill="1" applyBorder="1" applyAlignment="1">
      <alignment horizontal="right" vertical="top" wrapText="1"/>
    </xf>
    <xf numFmtId="3" fontId="0" fillId="0" borderId="0" xfId="0" applyNumberFormat="1" applyBorder="1" applyAlignment="1">
      <alignment horizontal="left"/>
    </xf>
    <xf numFmtId="0" fontId="17" fillId="5" borderId="67" xfId="0" applyFont="1" applyFill="1" applyBorder="1" applyAlignment="1">
      <alignment vertical="center"/>
    </xf>
    <xf numFmtId="3" fontId="2" fillId="0" borderId="59" xfId="0" applyNumberFormat="1" applyFont="1" applyFill="1" applyBorder="1" applyAlignment="1">
      <alignment horizontal="center"/>
    </xf>
    <xf numFmtId="167" fontId="15" fillId="0" borderId="2" xfId="61" applyNumberFormat="1" applyFont="1" applyFill="1" applyBorder="1" applyAlignment="1">
      <alignment horizontal="center"/>
    </xf>
    <xf numFmtId="167" fontId="15" fillId="0" borderId="63" xfId="61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7" fontId="16" fillId="0" borderId="0" xfId="51" applyFont="1" applyFill="1" applyBorder="1" applyAlignment="1">
      <alignment horizontal="center"/>
    </xf>
    <xf numFmtId="167" fontId="16" fillId="0" borderId="56" xfId="51" applyFont="1" applyFill="1" applyBorder="1" applyAlignment="1">
      <alignment horizontal="center"/>
    </xf>
    <xf numFmtId="3" fontId="2" fillId="0" borderId="53" xfId="0" applyNumberFormat="1" applyFont="1" applyFill="1" applyBorder="1" applyAlignment="1">
      <alignment horizontal="center"/>
    </xf>
    <xf numFmtId="167" fontId="15" fillId="0" borderId="53" xfId="61" applyNumberFormat="1" applyFont="1" applyFill="1" applyBorder="1" applyAlignment="1">
      <alignment horizontal="center"/>
    </xf>
    <xf numFmtId="167" fontId="15" fillId="0" borderId="61" xfId="61" applyNumberFormat="1" applyFont="1" applyFill="1" applyBorder="1" applyAlignment="1">
      <alignment horizontal="center"/>
    </xf>
    <xf numFmtId="3" fontId="0" fillId="0" borderId="23" xfId="0" applyNumberFormat="1" applyFill="1" applyBorder="1" applyAlignment="1">
      <alignment horizontal="center"/>
    </xf>
    <xf numFmtId="3" fontId="2" fillId="0" borderId="68" xfId="0" applyNumberFormat="1" applyFont="1" applyFill="1" applyBorder="1" applyAlignment="1">
      <alignment horizontal="center"/>
    </xf>
    <xf numFmtId="3" fontId="40" fillId="0" borderId="68" xfId="51" applyNumberFormat="1" applyFont="1" applyFill="1" applyBorder="1" applyAlignment="1">
      <alignment horizontal="center"/>
    </xf>
    <xf numFmtId="3" fontId="40" fillId="0" borderId="69" xfId="51" applyNumberFormat="1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 indent="1"/>
    </xf>
    <xf numFmtId="0" fontId="17" fillId="5" borderId="68" xfId="0" applyFont="1" applyFill="1" applyBorder="1" applyAlignment="1">
      <alignment vertical="center"/>
    </xf>
    <xf numFmtId="0" fontId="0" fillId="0" borderId="0" xfId="0" applyBorder="1"/>
    <xf numFmtId="0" fontId="26" fillId="3" borderId="14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71" xfId="0" applyFont="1" applyFill="1" applyBorder="1" applyAlignment="1">
      <alignment horizontal="center" vertical="center"/>
    </xf>
    <xf numFmtId="0" fontId="23" fillId="0" borderId="72" xfId="0" applyFont="1" applyBorder="1" applyAlignment="1">
      <alignment horizontal="right"/>
    </xf>
    <xf numFmtId="0" fontId="0" fillId="0" borderId="72" xfId="0" applyFont="1" applyBorder="1" applyAlignment="1">
      <alignment horizontal="center"/>
    </xf>
    <xf numFmtId="0" fontId="0" fillId="0" borderId="72" xfId="0" applyFont="1" applyBorder="1"/>
    <xf numFmtId="3" fontId="2" fillId="0" borderId="1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17" fillId="0" borderId="68" xfId="0" applyFont="1" applyFill="1" applyBorder="1" applyAlignment="1">
      <alignment vertical="center"/>
    </xf>
    <xf numFmtId="167" fontId="15" fillId="0" borderId="68" xfId="61" applyNumberFormat="1" applyFont="1" applyFill="1" applyBorder="1" applyAlignment="1">
      <alignment horizontal="center"/>
    </xf>
    <xf numFmtId="167" fontId="15" fillId="0" borderId="69" xfId="0" applyNumberFormat="1" applyFont="1" applyFill="1" applyBorder="1" applyAlignment="1">
      <alignment horizontal="center"/>
    </xf>
    <xf numFmtId="167" fontId="15" fillId="0" borderId="69" xfId="61" applyNumberFormat="1" applyFont="1" applyFill="1" applyBorder="1" applyAlignment="1">
      <alignment horizontal="center"/>
    </xf>
    <xf numFmtId="171" fontId="0" fillId="0" borderId="0" xfId="0" applyNumberFormat="1" applyBorder="1"/>
    <xf numFmtId="0" fontId="4" fillId="3" borderId="73" xfId="0" applyFont="1" applyFill="1" applyBorder="1" applyAlignment="1">
      <alignment horizontal="right" vertical="center" indent="1"/>
    </xf>
    <xf numFmtId="0" fontId="4" fillId="3" borderId="20" xfId="0" applyFont="1" applyFill="1" applyBorder="1" applyAlignment="1">
      <alignment horizontal="right" vertical="center" indent="1"/>
    </xf>
    <xf numFmtId="3" fontId="0" fillId="0" borderId="60" xfId="0" applyNumberFormat="1" applyBorder="1"/>
    <xf numFmtId="3" fontId="0" fillId="0" borderId="63" xfId="0" applyNumberFormat="1" applyBorder="1"/>
    <xf numFmtId="3" fontId="0" fillId="0" borderId="74" xfId="0" applyNumberFormat="1" applyBorder="1"/>
    <xf numFmtId="3" fontId="2" fillId="0" borderId="20" xfId="0" applyNumberFormat="1" applyFont="1" applyBorder="1"/>
    <xf numFmtId="3" fontId="0" fillId="0" borderId="62" xfId="0" applyNumberFormat="1" applyBorder="1"/>
    <xf numFmtId="171" fontId="0" fillId="0" borderId="60" xfId="0" applyNumberFormat="1" applyBorder="1"/>
    <xf numFmtId="171" fontId="0" fillId="0" borderId="63" xfId="0" applyNumberFormat="1" applyBorder="1"/>
    <xf numFmtId="4" fontId="0" fillId="0" borderId="74" xfId="0" applyNumberFormat="1" applyBorder="1"/>
    <xf numFmtId="171" fontId="2" fillId="0" borderId="20" xfId="0" applyNumberFormat="1" applyFont="1" applyBorder="1"/>
    <xf numFmtId="0" fontId="4" fillId="3" borderId="70" xfId="0" applyFont="1" applyFill="1" applyBorder="1" applyAlignment="1">
      <alignment horizontal="right" vertical="center" indent="1"/>
    </xf>
    <xf numFmtId="3" fontId="2" fillId="0" borderId="75" xfId="0" applyNumberFormat="1" applyFont="1" applyBorder="1"/>
    <xf numFmtId="1" fontId="7" fillId="0" borderId="0" xfId="0" applyNumberFormat="1" applyFont="1" applyAlignment="1">
      <alignment horizontal="center"/>
    </xf>
    <xf numFmtId="169" fontId="16" fillId="7" borderId="0" xfId="1" applyNumberFormat="1" applyFont="1" applyFill="1" applyBorder="1" applyAlignment="1">
      <alignment horizontal="right" vertical="top" wrapText="1"/>
    </xf>
    <xf numFmtId="0" fontId="23" fillId="0" borderId="11" xfId="0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center"/>
    </xf>
    <xf numFmtId="3" fontId="7" fillId="0" borderId="41" xfId="0" applyNumberFormat="1" applyFont="1" applyBorder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14" xfId="0" applyFont="1" applyBorder="1" applyAlignment="1">
      <alignment horizontal="center"/>
    </xf>
    <xf numFmtId="0" fontId="31" fillId="0" borderId="29" xfId="0" applyFont="1" applyBorder="1" applyAlignment="1">
      <alignment horizontal="left" vertical="center" wrapText="1"/>
    </xf>
    <xf numFmtId="3" fontId="0" fillId="0" borderId="30" xfId="0" applyNumberFormat="1" applyFont="1" applyBorder="1"/>
    <xf numFmtId="3" fontId="0" fillId="0" borderId="31" xfId="0" applyNumberFormat="1" applyFont="1" applyBorder="1"/>
    <xf numFmtId="3" fontId="0" fillId="0" borderId="63" xfId="0" applyNumberFormat="1" applyFont="1" applyBorder="1"/>
    <xf numFmtId="3" fontId="0" fillId="0" borderId="34" xfId="0" applyNumberFormat="1" applyFont="1" applyBorder="1"/>
    <xf numFmtId="3" fontId="0" fillId="0" borderId="40" xfId="0" applyNumberFormat="1" applyFont="1" applyBorder="1"/>
    <xf numFmtId="3" fontId="0" fillId="0" borderId="75" xfId="0" applyNumberFormat="1" applyFont="1" applyBorder="1"/>
  </cellXfs>
  <cellStyles count="811">
    <cellStyle name="Comma 2" xfId="100" xr:uid="{ABCD386B-7755-4A3C-B7A0-7E3F22B96362}"/>
    <cellStyle name="Comma 2 2" xfId="116" xr:uid="{A83C2198-9F59-4452-AD29-C771451FF343}"/>
    <cellStyle name="Comma 2 3" xfId="329" xr:uid="{2C54C18A-4887-4975-ADC9-FE1501210518}"/>
    <cellStyle name="Comma 2 3 2" xfId="673" xr:uid="{5D3B3E5F-39CA-4E1E-BC52-F6EAF557DDFD}"/>
    <cellStyle name="Comma 2 4" xfId="524" xr:uid="{4A8E9CC6-1F93-4961-AEF9-8556279680EA}"/>
    <cellStyle name="Comma 3" xfId="103" xr:uid="{7F10A7DF-BCF8-469D-8113-149EA0C0ED9D}"/>
    <cellStyle name="Comma 3 2" xfId="122" xr:uid="{8CCCE86D-F328-452C-B7FB-52C3395A298D}"/>
    <cellStyle name="Comma 3 3" xfId="331" xr:uid="{8FF3751E-A264-423A-A416-2B3494AB03D7}"/>
    <cellStyle name="Comma 3 3 2" xfId="675" xr:uid="{78EE6365-A8C7-4309-9261-C4CBDD8D6D85}"/>
    <cellStyle name="Comma 3 4" xfId="526" xr:uid="{93983229-582B-4146-B6E6-527DA1BC7FBB}"/>
    <cellStyle name="Ezres" xfId="1" builtinId="3"/>
    <cellStyle name="Ezres [0] 2" xfId="88" xr:uid="{8637FA64-C173-425C-A289-7A78D6D2CDCE}"/>
    <cellStyle name="Ezres 10" xfId="123" xr:uid="{2A2DA8C1-1DBD-4958-AA13-BF7847039177}"/>
    <cellStyle name="Ezres 10 2" xfId="341" xr:uid="{84AD1CBA-DC74-40F7-B0A9-0E15864CA145}"/>
    <cellStyle name="Ezres 10 2 2" xfId="685" xr:uid="{D15459C0-FBAE-4060-88EB-483E47B923CF}"/>
    <cellStyle name="Ezres 10 3" xfId="536" xr:uid="{5E873562-523D-4BC5-9AD7-4C9EDB9692FD}"/>
    <cellStyle name="Ezres 11" xfId="126" xr:uid="{3F80035D-9BC6-4CBF-B77E-F2189A4FD13D}"/>
    <cellStyle name="Ezres 11 2" xfId="342" xr:uid="{5854CB89-0C45-47B4-9706-1A4C0F0EC4B6}"/>
    <cellStyle name="Ezres 11 2 2" xfId="686" xr:uid="{292607BF-A135-4297-B785-1969A534E84C}"/>
    <cellStyle name="Ezres 11 3" xfId="537" xr:uid="{0EFF04A1-CB7C-48A1-AEE7-0E485951AA21}"/>
    <cellStyle name="Ezres 12" xfId="111" xr:uid="{0FE1A891-0B3D-4280-8C1E-4517CD5BE0F5}"/>
    <cellStyle name="Ezres 12 2" xfId="335" xr:uid="{2CC5A6E9-39B2-4205-949C-7F5E1448BF10}"/>
    <cellStyle name="Ezres 12 2 2" xfId="679" xr:uid="{F00AE8DF-A3ED-4E6A-A9CA-8DAE2DFB90D4}"/>
    <cellStyle name="Ezres 12 3" xfId="530" xr:uid="{03DB376E-2280-4BD2-84A0-DF0FDC954244}"/>
    <cellStyle name="Ezres 13" xfId="127" xr:uid="{55CBB30F-9C84-43B9-A9D5-60C1B061D927}"/>
    <cellStyle name="Ezres 13 2" xfId="343" xr:uid="{DDBFD491-69A5-4334-9E17-5ED43CE793F2}"/>
    <cellStyle name="Ezres 13 2 2" xfId="687" xr:uid="{D3FED2AF-134B-466A-A4DD-358D3C63411C}"/>
    <cellStyle name="Ezres 13 3" xfId="538" xr:uid="{A17E064A-DC64-41B8-9FBA-4D33F1C45F1C}"/>
    <cellStyle name="Ezres 14" xfId="113" xr:uid="{07AE1019-B179-4893-B995-D21F9D2FDE5C}"/>
    <cellStyle name="Ezres 14 2" xfId="336" xr:uid="{D137909E-3BA0-4576-92B6-13C44889D7DF}"/>
    <cellStyle name="Ezres 14 2 2" xfId="680" xr:uid="{3478FFB8-2B45-4E05-838B-9D440868A123}"/>
    <cellStyle name="Ezres 14 3" xfId="531" xr:uid="{2B515C31-B90D-41B7-80A8-31EFE0ADEEFB}"/>
    <cellStyle name="Ezres 15" xfId="120" xr:uid="{72F6954F-323B-463F-9FEF-8065BE17E700}"/>
    <cellStyle name="Ezres 15 2" xfId="340" xr:uid="{9F4C617E-D9F1-46A7-AB3E-3B01EF40B5D5}"/>
    <cellStyle name="Ezres 15 2 2" xfId="684" xr:uid="{391BF01D-6554-412E-BB4A-0752C4287578}"/>
    <cellStyle name="Ezres 15 3" xfId="535" xr:uid="{18017227-B493-4579-8143-3E9FA1F88421}"/>
    <cellStyle name="Ezres 15 3 2" xfId="26" xr:uid="{A4832EDB-577A-4ABE-A7A7-199DDA02CE18}"/>
    <cellStyle name="Ezres 15 3 2 2" xfId="43" xr:uid="{8ADA8E50-5FFA-4B35-9544-521038FEAEF8}"/>
    <cellStyle name="Ezres 16" xfId="128" xr:uid="{95402BE8-32FC-4F1F-95BB-DA904E1771AD}"/>
    <cellStyle name="Ezres 16 2" xfId="344" xr:uid="{771A29AF-CF5B-4880-A245-640C5FAFD8CE}"/>
    <cellStyle name="Ezres 16 2 2" xfId="688" xr:uid="{3B8A5DAD-FBC2-491E-8B59-42D12B72F54E}"/>
    <cellStyle name="Ezres 16 3" xfId="539" xr:uid="{CBB50234-08C0-4935-8486-BEF2DA3B08DD}"/>
    <cellStyle name="Ezres 17" xfId="129" xr:uid="{E5DB1748-AFED-475B-AADE-E481E89CC5F2}"/>
    <cellStyle name="Ezres 17 2" xfId="345" xr:uid="{31D3C7A7-D57D-4420-9467-5E3E4AD87271}"/>
    <cellStyle name="Ezres 17 2 2" xfId="689" xr:uid="{1E54D8A9-4860-43F8-A0F8-C73DC45BA898}"/>
    <cellStyle name="Ezres 17 3" xfId="540" xr:uid="{56E56DDB-7137-44C3-BF27-DFD56884A2F7}"/>
    <cellStyle name="Ezres 18" xfId="130" xr:uid="{7E44F1A7-2CB6-41EF-A571-36D7013AF4FD}"/>
    <cellStyle name="Ezres 18 2" xfId="346" xr:uid="{71EC9ACD-D863-4E44-88F6-60D807AF43DB}"/>
    <cellStyle name="Ezres 18 2 2" xfId="690" xr:uid="{3F2A6E4B-5EC9-4D89-B77B-7E115FEB493D}"/>
    <cellStyle name="Ezres 18 3" xfId="541" xr:uid="{6F073BFD-899F-4C37-B06F-A9274853F1D8}"/>
    <cellStyle name="Ezres 19" xfId="142" xr:uid="{A6092AB9-D354-4AA9-9EAF-1E9D36C6FC13}"/>
    <cellStyle name="Ezres 19 2" xfId="348" xr:uid="{14EE5924-693A-4816-9B2B-891AD7B884BE}"/>
    <cellStyle name="Ezres 19 2 2" xfId="692" xr:uid="{88BBF3A5-F84E-4F8C-A5F3-220CE75FD7D7}"/>
    <cellStyle name="Ezres 19 3" xfId="543" xr:uid="{F1ED3A82-F2CD-45ED-A6B1-3C468F80C2D8}"/>
    <cellStyle name="Ezres 2" xfId="9" xr:uid="{FD3565E6-62E9-4DCC-B33E-77FABAE781B3}"/>
    <cellStyle name="Ezres 2 10" xfId="67" xr:uid="{AB691E6F-762C-4F9E-BA08-04502142D5FE}"/>
    <cellStyle name="Ezres 2 2" xfId="13" xr:uid="{80E2AA8C-7663-4E4F-BF16-50EDA40F3220}"/>
    <cellStyle name="Ezres 2 2 2" xfId="45" xr:uid="{480C13B7-F76C-4B32-9E6B-F82AA2AE8486}"/>
    <cellStyle name="Ezres 2 2 2 2" xfId="337" xr:uid="{C282BED8-B9C0-4806-96F7-064CB69D4D02}"/>
    <cellStyle name="Ezres 2 2 2 2 2" xfId="681" xr:uid="{C561A584-96EA-4C22-96B1-78657F60CB83}"/>
    <cellStyle name="Ezres 2 2 2 3" xfId="532" xr:uid="{7CB2B542-D260-4146-AF81-9C4876831013}"/>
    <cellStyle name="Ezres 2 2 2 4" xfId="117" xr:uid="{B21F4327-5C19-42CC-AAD1-72FBC4B7F6D1}"/>
    <cellStyle name="Ezres 2 2 3" xfId="493" xr:uid="{B782E0B4-9FB3-4008-83A5-90FC6489A2BB}"/>
    <cellStyle name="Ezres 2 2 4" xfId="89" xr:uid="{5B157E69-49F4-4AFA-A4AC-A6C3ACC785CB}"/>
    <cellStyle name="Ezres 2 3" xfId="18" xr:uid="{F2FA567E-A1B0-4018-8AC6-7DB6953B166B}"/>
    <cellStyle name="Ezres 2 3 2" xfId="124" xr:uid="{A4501A1A-927F-48E4-BFE4-0B159789859D}"/>
    <cellStyle name="Ezres 2 3 3" xfId="85" xr:uid="{74AD6EBF-6E7B-42D9-A135-859217143C05}"/>
    <cellStyle name="Ezres 2 4" xfId="20" xr:uid="{24023BDA-49A9-46A1-9918-D88123D8236C}"/>
    <cellStyle name="Ezres 2 4 2" xfId="137" xr:uid="{6627C4C8-EF1C-47A0-93CE-499825E7FBDE}"/>
    <cellStyle name="Ezres 2 5" xfId="34" xr:uid="{EC4A9B1A-3478-4A22-B0A0-BFBE25888DFD}"/>
    <cellStyle name="Ezres 2 5 2" xfId="77" xr:uid="{216B159A-5E5C-4D66-A76B-53BA71D42D64}"/>
    <cellStyle name="Ezres 2 6" xfId="57" xr:uid="{1F635F7D-6AD1-4261-A723-7DCDC55CC569}"/>
    <cellStyle name="Ezres 2 6 2" xfId="279" xr:uid="{E20E5151-873C-4FE1-871A-70E1A0555EFF}"/>
    <cellStyle name="Ezres 2 7" xfId="316" xr:uid="{1F0D72FB-714B-4AE4-9106-8B5E777DFE5F}"/>
    <cellStyle name="Ezres 2 7 2" xfId="659" xr:uid="{65E6644C-5CED-4AFE-8241-61675016BBC6}"/>
    <cellStyle name="Ezres 2 8" xfId="473" xr:uid="{4A66BC5E-3B9D-49F3-9F14-AD2B9DD19908}"/>
    <cellStyle name="Ezres 2 8 2" xfId="509" xr:uid="{F915CE17-A5B0-4F5E-A90F-D71162A09BA4}"/>
    <cellStyle name="Ezres 2 9" xfId="502" xr:uid="{FA432CBF-E7A7-4EC5-9E3D-208ABE676E4A}"/>
    <cellStyle name="Ezres 20" xfId="144" xr:uid="{34F8DEC4-9D5C-4F6C-B050-92AA4D4E2282}"/>
    <cellStyle name="Ezres 20 2" xfId="350" xr:uid="{D443F87B-2AEC-45A1-BAA8-282360FC4081}"/>
    <cellStyle name="Ezres 20 2 2" xfId="694" xr:uid="{DCFAB427-C82B-4B16-8F74-E09B73C7192F}"/>
    <cellStyle name="Ezres 20 3" xfId="545" xr:uid="{7EEB9F79-6121-41F5-ABC2-7DE19E8ABA89}"/>
    <cellStyle name="Ezres 21" xfId="145" xr:uid="{53575D7F-71D4-40FF-81D5-B34D8625C2C8}"/>
    <cellStyle name="Ezres 21 2" xfId="351" xr:uid="{4AC28495-61D2-4578-AC5D-EEEE70C6B0BF}"/>
    <cellStyle name="Ezres 21 2 2" xfId="695" xr:uid="{28554FEB-4BC4-4CCD-8973-B4F7362D979E}"/>
    <cellStyle name="Ezres 21 3" xfId="546" xr:uid="{706B8594-A15F-4B77-AB5F-6E342939A1AA}"/>
    <cellStyle name="Ezres 22" xfId="147" xr:uid="{252FC212-5396-4590-99E6-0F313419F1C4}"/>
    <cellStyle name="Ezres 22 2" xfId="352" xr:uid="{5F722F46-5D13-4349-858A-BB4EDB0CFE4B}"/>
    <cellStyle name="Ezres 22 2 2" xfId="696" xr:uid="{1D421B5B-5EB5-4E10-989F-D98AD38F4E16}"/>
    <cellStyle name="Ezres 22 3" xfId="547" xr:uid="{F8AFA64E-E11E-43FE-A03B-2AEBB076CBA5}"/>
    <cellStyle name="Ezres 23" xfId="143" xr:uid="{FB08CAFC-1DDA-4E49-916A-909E84B6A73C}"/>
    <cellStyle name="Ezres 23 2" xfId="349" xr:uid="{C438D07B-9546-4B62-B838-FACC0C79E858}"/>
    <cellStyle name="Ezres 23 2 2" xfId="693" xr:uid="{862D0718-841B-4103-9DA7-25D1A5488FC0}"/>
    <cellStyle name="Ezres 23 3" xfId="544" xr:uid="{7E304C55-D9E8-4FDC-BB82-D55D13A5F843}"/>
    <cellStyle name="Ezres 24" xfId="133" xr:uid="{24A01CCE-F9AD-4119-A3A0-6CF74CBE5BCE}"/>
    <cellStyle name="Ezres 24 2" xfId="347" xr:uid="{FA393807-7805-4160-9140-3228E4C2AFB1}"/>
    <cellStyle name="Ezres 24 2 2" xfId="691" xr:uid="{44469421-30D9-41DA-BD94-11167E4B5746}"/>
    <cellStyle name="Ezres 24 3" xfId="542" xr:uid="{E4FF0296-D7FD-49DA-8048-BBA8892A0E15}"/>
    <cellStyle name="Ezres 25" xfId="154" xr:uid="{17F7F39F-37B7-41C9-9E57-F51E1E6DAB29}"/>
    <cellStyle name="Ezres 25 2" xfId="354" xr:uid="{F9E0533A-3F69-41F5-AB01-27204C9858CD}"/>
    <cellStyle name="Ezres 25 2 2" xfId="698" xr:uid="{257EA92B-E62A-4C92-AF57-A41CADD3D9AB}"/>
    <cellStyle name="Ezres 25 3" xfId="549" xr:uid="{6AD5DA4F-3796-4849-B160-05CA49CCB1B7}"/>
    <cellStyle name="Ezres 26" xfId="159" xr:uid="{D3CA05CB-1798-4BE2-8396-759D5EBE703A}"/>
    <cellStyle name="Ezres 26 2" xfId="176" xr:uid="{6AC59648-481B-4798-9F98-ED6A9CF60A53}"/>
    <cellStyle name="Ezres 26 2 2" xfId="213" xr:uid="{A3CA3FE5-F1E0-46D0-AD93-9F82B7D82C0F}"/>
    <cellStyle name="Ezres 26 2 2 2" xfId="258" xr:uid="{770B2438-26CE-45AE-A62E-C8AD55B22935}"/>
    <cellStyle name="Ezres 26 2 2 2 2" xfId="429" xr:uid="{45762B0E-CDB0-4675-8DE9-3C7C5B5A1EC1}"/>
    <cellStyle name="Ezres 26 2 2 2 2 2" xfId="773" xr:uid="{2FB7E773-7284-4D63-B9AA-6F5CFEEE86B3}"/>
    <cellStyle name="Ezres 26 2 2 2 3" xfId="625" xr:uid="{EB0789A7-5AEF-41A4-9320-E6FC4B06A6D7}"/>
    <cellStyle name="Ezres 26 2 2 3" xfId="392" xr:uid="{392F5C5E-5154-4272-9779-F11671654ED1}"/>
    <cellStyle name="Ezres 26 2 2 3 2" xfId="736" xr:uid="{2812069D-0326-4E17-A4FC-728D4D4CC57A}"/>
    <cellStyle name="Ezres 26 2 2 4" xfId="588" xr:uid="{E4F7DEE1-D224-4B41-A362-90B0BB2D4FC1}"/>
    <cellStyle name="Ezres 26 2 3" xfId="236" xr:uid="{1128F651-3858-4317-88B2-84BFCB1A0D9C}"/>
    <cellStyle name="Ezres 26 2 3 2" xfId="410" xr:uid="{26B0D286-1FC6-4CEC-A9BF-F92F151C97DD}"/>
    <cellStyle name="Ezres 26 2 3 2 2" xfId="754" xr:uid="{D3A2EE3F-6564-43F7-8A39-E13B64607109}"/>
    <cellStyle name="Ezres 26 2 3 3" xfId="606" xr:uid="{2D980909-9921-4F40-9441-CF4565CEEF18}"/>
    <cellStyle name="Ezres 26 2 4" xfId="369" xr:uid="{9C3A2C08-79DC-4BDA-8D59-8967621D0658}"/>
    <cellStyle name="Ezres 26 2 4 2" xfId="713" xr:uid="{A6C85666-B489-468C-A381-BF86C94DCAFD}"/>
    <cellStyle name="Ezres 26 2 5" xfId="564" xr:uid="{5A7F7B38-28C6-4A61-A1EF-CD9CBF587C20}"/>
    <cellStyle name="Ezres 26 3" xfId="201" xr:uid="{827B6CF9-BFB5-48C7-BA70-90D4931AB80F}"/>
    <cellStyle name="Ezres 26 3 2" xfId="247" xr:uid="{E66CE056-792C-4C55-BA10-9BA3DBE395CE}"/>
    <cellStyle name="Ezres 26 3 2 2" xfId="419" xr:uid="{5464D991-36CF-4598-B257-20148DE6724B}"/>
    <cellStyle name="Ezres 26 3 2 2 2" xfId="763" xr:uid="{359B9F3B-717C-4319-8180-31ADEBBE3595}"/>
    <cellStyle name="Ezres 26 3 2 3" xfId="615" xr:uid="{1D763554-1C68-40D9-BA97-735AAA8D78DF}"/>
    <cellStyle name="Ezres 26 3 3" xfId="382" xr:uid="{E4AC273D-4C0A-4591-98DA-2D93E2FB160F}"/>
    <cellStyle name="Ezres 26 3 3 2" xfId="726" xr:uid="{CA5CDC82-2C72-4577-8609-1CA82123AE99}"/>
    <cellStyle name="Ezres 26 3 4" xfId="578" xr:uid="{EC835D57-B0F0-4AA5-B6CF-2C4E2003304D}"/>
    <cellStyle name="Ezres 26 4" xfId="226" xr:uid="{C841D319-12B8-427F-8F14-612262B9FD05}"/>
    <cellStyle name="Ezres 26 4 2" xfId="401" xr:uid="{F57DBB8F-2FEE-463D-AE42-60AC851B3A8A}"/>
    <cellStyle name="Ezres 26 4 2 2" xfId="745" xr:uid="{F83EA640-40E9-48B6-B3DB-AA676FFF82DC}"/>
    <cellStyle name="Ezres 26 4 3" xfId="597" xr:uid="{1CBB1D81-3274-47C1-9DF4-54B41E0B1726}"/>
    <cellStyle name="Ezres 26 5" xfId="357" xr:uid="{007E5F39-9DD7-455F-B459-F12C403EF6B8}"/>
    <cellStyle name="Ezres 26 5 2" xfId="701" xr:uid="{EA4404D9-DCFA-4CB3-9C2D-BA6ADFF42A7F}"/>
    <cellStyle name="Ezres 26 6" xfId="552" xr:uid="{525F493F-92F3-4470-8617-74DCC6C655A2}"/>
    <cellStyle name="Ezres 27" xfId="160" xr:uid="{E803C121-8AEB-41D8-9505-089B092CA6F7}"/>
    <cellStyle name="Ezres 27 2" xfId="177" xr:uid="{9D03FBE6-FA3E-47A8-B4D2-CA98865FD3CE}"/>
    <cellStyle name="Ezres 27 2 2" xfId="214" xr:uid="{5708A913-021C-40D7-A3C7-DEDF8ECADF84}"/>
    <cellStyle name="Ezres 27 2 2 2" xfId="259" xr:uid="{B4924F50-61CA-4802-9FB2-8201C21CE305}"/>
    <cellStyle name="Ezres 27 2 2 2 2" xfId="430" xr:uid="{77D74FCF-83FE-49C6-9E43-F0F92A629960}"/>
    <cellStyle name="Ezres 27 2 2 2 2 2" xfId="774" xr:uid="{33EA247B-6F5D-421E-81A9-407DADEB19FB}"/>
    <cellStyle name="Ezres 27 2 2 2 3" xfId="626" xr:uid="{8FEFB7BE-0BAA-442B-9380-FA77DDF3178B}"/>
    <cellStyle name="Ezres 27 2 2 3" xfId="393" xr:uid="{15F4400A-F712-439D-9423-EA07C17D7EAF}"/>
    <cellStyle name="Ezres 27 2 2 3 2" xfId="737" xr:uid="{7E6D1D33-4CAC-4FC0-8A59-19D79B804811}"/>
    <cellStyle name="Ezres 27 2 2 4" xfId="589" xr:uid="{7F1DE05C-7F13-43CE-9CE3-FEBB3B832F86}"/>
    <cellStyle name="Ezres 27 2 3" xfId="237" xr:uid="{86C25968-280F-4669-B1C3-93B457DAC7F5}"/>
    <cellStyle name="Ezres 27 2 3 2" xfId="411" xr:uid="{2255D462-AE9A-4FE8-9A31-A44AF95A21D0}"/>
    <cellStyle name="Ezres 27 2 3 2 2" xfId="755" xr:uid="{1772F4D7-1611-492A-9F39-570C4E1E6112}"/>
    <cellStyle name="Ezres 27 2 3 3" xfId="607" xr:uid="{8AE8FD06-2CC7-4207-ADA3-A22148D2F3C9}"/>
    <cellStyle name="Ezres 27 2 4" xfId="370" xr:uid="{A68BF343-909A-43CA-A69D-D5A696601C8B}"/>
    <cellStyle name="Ezres 27 2 4 2" xfId="714" xr:uid="{BAF9893D-293F-4FEB-B6C9-0D0AF064AF82}"/>
    <cellStyle name="Ezres 27 2 5" xfId="565" xr:uid="{E28207CF-4D43-40EA-9A86-CB9D121557F7}"/>
    <cellStyle name="Ezres 27 3" xfId="202" xr:uid="{7324B74D-6DA3-4CA9-8EF1-C91621F6CFB0}"/>
    <cellStyle name="Ezres 27 3 2" xfId="248" xr:uid="{F6AE8161-2A59-4AD2-AC37-1339B33AAD8D}"/>
    <cellStyle name="Ezres 27 3 2 2" xfId="420" xr:uid="{5F5DE725-983A-4D91-A644-4EE178DCB937}"/>
    <cellStyle name="Ezres 27 3 2 2 2" xfId="764" xr:uid="{1D677FDC-805C-4526-8597-382D48879660}"/>
    <cellStyle name="Ezres 27 3 2 3" xfId="616" xr:uid="{786A82FC-1340-47B0-9374-D2999D3362F7}"/>
    <cellStyle name="Ezres 27 3 3" xfId="383" xr:uid="{E243E993-DF82-4554-A293-E0D681A08F5D}"/>
    <cellStyle name="Ezres 27 3 3 2" xfId="727" xr:uid="{FEC64212-7719-4781-9D8F-2ED81CB51D3B}"/>
    <cellStyle name="Ezres 27 3 4" xfId="579" xr:uid="{37543DB0-C6CF-4875-9DB6-DBA00B939297}"/>
    <cellStyle name="Ezres 27 4" xfId="227" xr:uid="{65A19141-E21E-404F-AEFA-0FD5F62C4517}"/>
    <cellStyle name="Ezres 27 4 2" xfId="402" xr:uid="{FC57A319-1B33-43F6-B126-6BDCA2F93690}"/>
    <cellStyle name="Ezres 27 4 2 2" xfId="746" xr:uid="{C0882C07-8A82-42F0-B7E7-683F0025F428}"/>
    <cellStyle name="Ezres 27 4 3" xfId="598" xr:uid="{4A7288DC-C563-4840-8965-DEDF53DFAD0E}"/>
    <cellStyle name="Ezres 27 5" xfId="358" xr:uid="{4EA48B3A-C8C4-41C3-A22E-5E2944F7088D}"/>
    <cellStyle name="Ezres 27 5 2" xfId="702" xr:uid="{CD9276D2-8F50-4CDF-A234-FBD7EC0B54D8}"/>
    <cellStyle name="Ezres 27 6" xfId="553" xr:uid="{888B2E44-DBCB-4827-BFF7-5CA6ED05B739}"/>
    <cellStyle name="Ezres 28" xfId="161" xr:uid="{E7BDA9B6-700C-4E2E-9487-AD1183E54FC1}"/>
    <cellStyle name="Ezres 28 2" xfId="178" xr:uid="{E2C4631E-297A-4255-8D37-C4AA29A78B1B}"/>
    <cellStyle name="Ezres 28 2 2" xfId="215" xr:uid="{DD57C5A4-3654-4B2D-8CAA-C6F2EB5616C8}"/>
    <cellStyle name="Ezres 28 2 2 2" xfId="260" xr:uid="{906715D1-0B77-44AC-BB89-CB7ACA8E5DEC}"/>
    <cellStyle name="Ezres 28 2 2 2 2" xfId="431" xr:uid="{677F8D5F-6CF1-4AAD-AB23-087BC2489ECB}"/>
    <cellStyle name="Ezres 28 2 2 2 2 2" xfId="775" xr:uid="{D337E5F2-5176-4A63-97F3-6C873B47A92F}"/>
    <cellStyle name="Ezres 28 2 2 2 3" xfId="627" xr:uid="{9279C8A7-6698-4BD6-946E-57BF77B9FE69}"/>
    <cellStyle name="Ezres 28 2 2 3" xfId="394" xr:uid="{EE781D57-1789-4388-BD2B-04F36FEFA145}"/>
    <cellStyle name="Ezres 28 2 2 3 2" xfId="738" xr:uid="{A295F6FC-E351-4252-8B67-8BD7AA841708}"/>
    <cellStyle name="Ezres 28 2 2 4" xfId="590" xr:uid="{A72335CD-3590-4522-992D-D6A7EA83E30B}"/>
    <cellStyle name="Ezres 28 2 3" xfId="238" xr:uid="{E55CCCF7-619E-4394-A2BE-191377AA0A4C}"/>
    <cellStyle name="Ezres 28 2 3 2" xfId="412" xr:uid="{CB6C2A11-4DD7-48D7-8287-CAC93436C434}"/>
    <cellStyle name="Ezres 28 2 3 2 2" xfId="756" xr:uid="{000254DC-278B-4F17-8069-B7F5F7842716}"/>
    <cellStyle name="Ezres 28 2 3 3" xfId="608" xr:uid="{84FA8834-2C35-4607-87F5-97520F0B6433}"/>
    <cellStyle name="Ezres 28 2 4" xfId="371" xr:uid="{8FA9DD19-1AC4-42F1-9CFC-852F537DDF37}"/>
    <cellStyle name="Ezres 28 2 4 2" xfId="715" xr:uid="{9FC1B113-E17C-4DE7-98C7-0D13A5FA9267}"/>
    <cellStyle name="Ezres 28 2 5" xfId="566" xr:uid="{3F12A25A-9911-4154-B938-720A7A44CFAF}"/>
    <cellStyle name="Ezres 28 3" xfId="203" xr:uid="{AD642EF1-2104-4FBB-8CA8-CA41EFAFA1D2}"/>
    <cellStyle name="Ezres 28 3 2" xfId="249" xr:uid="{4AF0DC65-2456-4190-9061-8E6451A324E0}"/>
    <cellStyle name="Ezres 28 3 2 2" xfId="421" xr:uid="{CA1147F7-E23B-412F-B0DD-13BC61E23BCD}"/>
    <cellStyle name="Ezres 28 3 2 2 2" xfId="765" xr:uid="{210CDF7E-C837-439B-8070-3B101F19A43F}"/>
    <cellStyle name="Ezres 28 3 2 3" xfId="617" xr:uid="{663DDDE9-7CA7-424B-87BF-2A2DE6B12FDB}"/>
    <cellStyle name="Ezres 28 3 3" xfId="384" xr:uid="{AEB28F81-6D98-4AA7-BD27-C926C8475F90}"/>
    <cellStyle name="Ezres 28 3 3 2" xfId="728" xr:uid="{27FB90B9-7C99-4BB3-A663-9D0B0EB0C765}"/>
    <cellStyle name="Ezres 28 3 4" xfId="580" xr:uid="{8E529058-80AB-4C21-8367-8C14F62C6EC5}"/>
    <cellStyle name="Ezres 28 4" xfId="228" xr:uid="{9F6F1487-41C4-4DAE-90CC-3A050CF0AEBC}"/>
    <cellStyle name="Ezres 28 4 2" xfId="403" xr:uid="{773CC4D2-C23F-426F-B6C2-AA550ECD6935}"/>
    <cellStyle name="Ezres 28 4 2 2" xfId="747" xr:uid="{AB23B8F9-0A21-482A-B3C8-9CA2F3011960}"/>
    <cellStyle name="Ezres 28 4 3" xfId="599" xr:uid="{8B27E07A-7D54-4155-BE41-D125A6694B86}"/>
    <cellStyle name="Ezres 28 5" xfId="359" xr:uid="{BC69ED90-6D25-494E-ABC0-C7FE46DFBF7C}"/>
    <cellStyle name="Ezres 28 5 2" xfId="703" xr:uid="{FB403594-359A-4BCA-8316-60A1664C9767}"/>
    <cellStyle name="Ezres 28 6" xfId="554" xr:uid="{E1416156-ED11-4801-8104-B92BBF005588}"/>
    <cellStyle name="Ezres 29" xfId="162" xr:uid="{56EECAF3-DCD4-4684-8478-CB3900D12CDB}"/>
    <cellStyle name="Ezres 29 2" xfId="179" xr:uid="{F471270A-0FF5-4A32-9DBA-40493DA79748}"/>
    <cellStyle name="Ezres 29 2 2" xfId="216" xr:uid="{2CD8F596-1493-4DC3-B8F6-D59EE11E6A5D}"/>
    <cellStyle name="Ezres 29 2 2 2" xfId="261" xr:uid="{30F7C398-3B56-4659-9F4D-77F5BC6C3D6C}"/>
    <cellStyle name="Ezres 29 2 2 2 2" xfId="432" xr:uid="{36750722-5B86-434C-AFC6-9D1AB81B90CD}"/>
    <cellStyle name="Ezres 29 2 2 2 2 2" xfId="776" xr:uid="{D814F6ED-9596-4803-8DD4-1A33E548B534}"/>
    <cellStyle name="Ezres 29 2 2 2 3" xfId="628" xr:uid="{3B050E9C-A835-4D87-A184-F2FD0E8F11ED}"/>
    <cellStyle name="Ezres 29 2 2 3" xfId="395" xr:uid="{D8373EEB-802E-4509-AFB2-BC46770A8D13}"/>
    <cellStyle name="Ezres 29 2 2 3 2" xfId="739" xr:uid="{5075A644-D928-444D-B274-F957A0F4C47A}"/>
    <cellStyle name="Ezres 29 2 2 4" xfId="591" xr:uid="{80A681C4-BDA7-4B34-B57D-8A194BC58932}"/>
    <cellStyle name="Ezres 29 2 3" xfId="239" xr:uid="{E468BA66-E1D9-4A73-AC3B-26F4E1E53307}"/>
    <cellStyle name="Ezres 29 2 3 2" xfId="413" xr:uid="{D8EE1A12-BE55-4F4A-A012-9B96DC8DEB0D}"/>
    <cellStyle name="Ezres 29 2 3 2 2" xfId="757" xr:uid="{AD514081-6284-43D6-894B-FDA950AD8C8C}"/>
    <cellStyle name="Ezres 29 2 3 3" xfId="609" xr:uid="{F2F21879-9077-4B8C-8B82-664527072B8F}"/>
    <cellStyle name="Ezres 29 2 4" xfId="372" xr:uid="{DD66EAF8-B0B4-4661-9EFF-0D266CD0C4CA}"/>
    <cellStyle name="Ezres 29 2 4 2" xfId="716" xr:uid="{E685AFAB-BD95-42F0-878B-A479CE64CC10}"/>
    <cellStyle name="Ezres 29 2 5" xfId="567" xr:uid="{6A21C3D7-A28B-40E8-8591-D6BC68AE15EC}"/>
    <cellStyle name="Ezres 29 3" xfId="204" xr:uid="{D8B36375-06DC-4E23-BBE1-331F6431731A}"/>
    <cellStyle name="Ezres 29 3 2" xfId="250" xr:uid="{4EFD9C1D-C38D-4411-9C75-68C5BEB24118}"/>
    <cellStyle name="Ezres 29 3 2 2" xfId="422" xr:uid="{97312CE9-F7A3-4135-8091-6B002553C811}"/>
    <cellStyle name="Ezres 29 3 2 2 2" xfId="766" xr:uid="{BD4A9D8B-3BAD-4BF6-AA88-F39B15C269DF}"/>
    <cellStyle name="Ezres 29 3 2 3" xfId="618" xr:uid="{16C6DC64-A005-46BC-ADC5-CF208CC5D09B}"/>
    <cellStyle name="Ezres 29 3 3" xfId="385" xr:uid="{5B84DA45-D636-44ED-ADDA-3DE8B01BA7B0}"/>
    <cellStyle name="Ezres 29 3 3 2" xfId="729" xr:uid="{A1BFF5B5-AA26-4046-A466-5D8EA779027C}"/>
    <cellStyle name="Ezres 29 3 4" xfId="581" xr:uid="{CC7AD859-AFD7-40F9-82A3-54F287ADB1CB}"/>
    <cellStyle name="Ezres 29 4" xfId="229" xr:uid="{903D3559-3F2F-4C14-801D-DBC9F8726B4B}"/>
    <cellStyle name="Ezres 29 4 2" xfId="404" xr:uid="{AE0B8F38-D3F9-43D8-B69B-86CC55B61D43}"/>
    <cellStyle name="Ezres 29 4 2 2" xfId="748" xr:uid="{7D9A87FC-F6E8-4006-8497-E660E895A1A2}"/>
    <cellStyle name="Ezres 29 4 3" xfId="600" xr:uid="{12BE8216-7DC9-4521-99A6-547D10D595C8}"/>
    <cellStyle name="Ezres 29 5" xfId="360" xr:uid="{B3CC8DF8-5841-4935-BD71-3A1B2DBB2C96}"/>
    <cellStyle name="Ezres 29 5 2" xfId="704" xr:uid="{2E059018-7524-4D39-9DFD-EA2739794556}"/>
    <cellStyle name="Ezres 29 6" xfId="555" xr:uid="{4EABD7BB-5A52-461D-A042-A3BDDCDB02F2}"/>
    <cellStyle name="Ezres 3" xfId="7" xr:uid="{24660899-AEF3-4DA4-9711-C8AD3F5F519F}"/>
    <cellStyle name="Ezres 3 10" xfId="65" xr:uid="{B5984282-0683-4CD8-8CA0-D16DF6C16CAB}"/>
    <cellStyle name="Ezres 3 2" xfId="50" xr:uid="{468E15E6-6004-4DA6-8A69-CE693CD0CD44}"/>
    <cellStyle name="Ezres 3 2 2" xfId="175" xr:uid="{3FE9AD0F-B973-46D8-AC09-BE882E848D2D}"/>
    <cellStyle name="Ezres 3 2 2 2" xfId="212" xr:uid="{7C98D3D4-F722-4B29-997A-E6E07D7FE034}"/>
    <cellStyle name="Ezres 3 2 2 2 2" xfId="257" xr:uid="{9C6F5C33-6A80-409D-8CBF-82755CDD965A}"/>
    <cellStyle name="Ezres 3 2 2 2 2 2" xfId="428" xr:uid="{1B84D162-2E95-4107-BDA8-CD92ECEC2CBB}"/>
    <cellStyle name="Ezres 3 2 2 2 2 2 2" xfId="772" xr:uid="{46EBBC4A-A87A-4244-BB28-ED6BFB7E4358}"/>
    <cellStyle name="Ezres 3 2 2 2 2 3" xfId="624" xr:uid="{E81EC1A6-6D72-4F09-801D-9268C5E6C742}"/>
    <cellStyle name="Ezres 3 2 2 2 3" xfId="391" xr:uid="{0CF46A1D-0BD8-452F-8DB3-011BABCE5C38}"/>
    <cellStyle name="Ezres 3 2 2 2 3 2" xfId="735" xr:uid="{710ADD5B-7627-4274-88C3-A60A5D54BA51}"/>
    <cellStyle name="Ezres 3 2 2 2 4" xfId="587" xr:uid="{0536C451-FDC7-42E3-8E5A-B8A35EEC2DAF}"/>
    <cellStyle name="Ezres 3 2 2 3" xfId="235" xr:uid="{EAE5C559-5407-46BC-AAD7-57A986718A61}"/>
    <cellStyle name="Ezres 3 2 2 3 2" xfId="409" xr:uid="{C4C0F69F-B5F1-436B-AA1D-83CCF137096A}"/>
    <cellStyle name="Ezres 3 2 2 3 2 2" xfId="753" xr:uid="{ED12A8FB-E882-4938-B0D6-9F92E63C53F5}"/>
    <cellStyle name="Ezres 3 2 2 3 3" xfId="605" xr:uid="{9E077E04-2E9A-49AE-BEE9-ABA3DA4306DF}"/>
    <cellStyle name="Ezres 3 2 2 4" xfId="368" xr:uid="{828BE1BB-32C3-4C6F-8926-363AE1AC57D6}"/>
    <cellStyle name="Ezres 3 2 2 4 2" xfId="712" xr:uid="{059D716F-84DB-4C22-B42D-A897D1243544}"/>
    <cellStyle name="Ezres 3 2 2 5" xfId="563" xr:uid="{78D5BC00-2576-4E1D-94CB-24741D84B8E2}"/>
    <cellStyle name="Ezres 3 2 3" xfId="200" xr:uid="{C38442CE-86B9-4E77-B010-AC30EF35AC7E}"/>
    <cellStyle name="Ezres 3 2 3 2" xfId="246" xr:uid="{BFE6C510-C2EA-49F5-A1D8-B841DE9AF2B8}"/>
    <cellStyle name="Ezres 3 2 3 2 2" xfId="418" xr:uid="{93AFDDF5-2648-4A81-93E6-EDC95C3BCA00}"/>
    <cellStyle name="Ezres 3 2 3 2 2 2" xfId="762" xr:uid="{CF804E99-53F2-43A3-BCEF-492C65D90468}"/>
    <cellStyle name="Ezres 3 2 3 2 3" xfId="614" xr:uid="{BFBB2767-D209-40AC-9A6A-58F1271CC4EC}"/>
    <cellStyle name="Ezres 3 2 3 3" xfId="381" xr:uid="{3C9D1916-96D3-41D9-9E92-BE34A4DABB03}"/>
    <cellStyle name="Ezres 3 2 3 3 2" xfId="725" xr:uid="{75CA09D7-CA96-46B9-8414-D81893EC087C}"/>
    <cellStyle name="Ezres 3 2 3 4" xfId="577" xr:uid="{DFB67332-71FC-474F-9D77-30740D853607}"/>
    <cellStyle name="Ezres 3 2 4" xfId="225" xr:uid="{8207497C-3DB0-44BB-BD4C-838E54502565}"/>
    <cellStyle name="Ezres 3 2 4 2" xfId="400" xr:uid="{DCDBD2B0-0F2B-47B3-AF61-DD7AF1CDE02A}"/>
    <cellStyle name="Ezres 3 2 4 2 2" xfId="744" xr:uid="{5BB7C9CA-9CF3-4B05-9B1F-5CFF4B1EA0B2}"/>
    <cellStyle name="Ezres 3 2 4 3" xfId="596" xr:uid="{01D6749D-7DF1-4618-B2E2-DAED44ED1882}"/>
    <cellStyle name="Ezres 3 2 5" xfId="355" xr:uid="{360FDBAC-D3F5-4D06-A43F-1066002EBD2F}"/>
    <cellStyle name="Ezres 3 2 5 2" xfId="699" xr:uid="{D8EEDC41-971D-432D-8699-1F5998927A82}"/>
    <cellStyle name="Ezres 3 2 6" xfId="550" xr:uid="{39D2F784-F42D-4E8B-A8FF-E11A96C824EB}"/>
    <cellStyle name="Ezres 3 2 7" xfId="155" xr:uid="{AB7BDBFC-378D-4B65-8210-518E6BF0C168}"/>
    <cellStyle name="Ezres 3 3" xfId="42" xr:uid="{973C6D82-64B3-4F09-88C8-F0128B0731A2}"/>
    <cellStyle name="Ezres 3 3 2" xfId="208" xr:uid="{FF2F7E26-37B0-447D-A033-68FF961CE5EE}"/>
    <cellStyle name="Ezres 3 3 2 2" xfId="254" xr:uid="{437FF165-0E13-4CC1-96CF-AE19CD723C77}"/>
    <cellStyle name="Ezres 3 3 2 2 2" xfId="425" xr:uid="{77D3234B-4970-404F-A2C2-FA1AD46194CF}"/>
    <cellStyle name="Ezres 3 3 2 2 2 2" xfId="769" xr:uid="{57FDC14A-EC00-4ACE-B054-EF1D4BE34CEC}"/>
    <cellStyle name="Ezres 3 3 2 2 3" xfId="621" xr:uid="{D6FEA075-595B-47A5-A4D7-A29F598835B3}"/>
    <cellStyle name="Ezres 3 3 2 3" xfId="388" xr:uid="{475BA751-8729-4649-AD35-0D0D0BA6F32E}"/>
    <cellStyle name="Ezres 3 3 2 3 2" xfId="732" xr:uid="{E6E70A1C-0B48-4D96-A6FB-5F54FFEA21AF}"/>
    <cellStyle name="Ezres 3 3 2 4" xfId="584" xr:uid="{5CBD5905-4778-40C6-AEA8-560E6988EE5D}"/>
    <cellStyle name="Ezres 3 3 3" xfId="232" xr:uid="{7571F276-A820-437A-A2CD-6B0C19246F30}"/>
    <cellStyle name="Ezres 3 3 3 2" xfId="406" xr:uid="{8A3E7D9B-97B7-4A35-B416-EEBFE2DA9188}"/>
    <cellStyle name="Ezres 3 3 3 2 2" xfId="750" xr:uid="{6E5519AA-B563-422F-ADCD-FD041ADF027B}"/>
    <cellStyle name="Ezres 3 3 3 3" xfId="602" xr:uid="{7F49B185-BE68-48DD-BE53-BB24A706CCD7}"/>
    <cellStyle name="Ezres 3 3 4" xfId="364" xr:uid="{E078F519-4EFF-4459-BA78-FF143C071A94}"/>
    <cellStyle name="Ezres 3 3 4 2" xfId="708" xr:uid="{6B3A6D9E-4218-487E-9228-CE8197D45F95}"/>
    <cellStyle name="Ezres 3 3 5" xfId="559" xr:uid="{776CBC72-4B77-4373-AE4D-D4F203C3089E}"/>
    <cellStyle name="Ezres 3 3 6" xfId="168" xr:uid="{D55A881C-0D48-4F3C-A3F0-E29CF7950510}"/>
    <cellStyle name="Ezres 3 4" xfId="59" xr:uid="{0BE77E92-2047-47FD-84C8-3A6011269EA4}"/>
    <cellStyle name="Ezres 3 4 2" xfId="244" xr:uid="{71BDFD69-4082-4BA1-A77C-C400D3D2521B}"/>
    <cellStyle name="Ezres 3 4 2 2" xfId="416" xr:uid="{249392F8-A8AE-47FA-B8AC-08FEBD2106C7}"/>
    <cellStyle name="Ezres 3 4 2 2 2" xfId="760" xr:uid="{875DACE8-178B-4572-BCE0-F58E97AD1189}"/>
    <cellStyle name="Ezres 3 4 2 3" xfId="612" xr:uid="{EA200A82-0275-4698-AF1C-E1E38C16F10D}"/>
    <cellStyle name="Ezres 3 4 3" xfId="376" xr:uid="{E4FC8373-2894-462B-876A-DF3D0F16063A}"/>
    <cellStyle name="Ezres 3 4 3 2" xfId="720" xr:uid="{29E47C21-76F7-485D-8691-E0763590EA2A}"/>
    <cellStyle name="Ezres 3 4 4" xfId="571" xr:uid="{D5A77E46-0BBC-4FF5-916D-4A56FC7A1DED}"/>
    <cellStyle name="Ezres 3 4 5" xfId="191" xr:uid="{7DFC95F6-A2DF-460C-B4F2-5F0FA81D719A}"/>
    <cellStyle name="Ezres 3 5" xfId="223" xr:uid="{28C94066-F7E1-483A-A367-B5B4F3955054}"/>
    <cellStyle name="Ezres 3 5 2" xfId="398" xr:uid="{A8563096-5CB0-4377-BF79-78FC9B0E1B5C}"/>
    <cellStyle name="Ezres 3 5 2 2" xfId="742" xr:uid="{AA3F1EB7-F72F-4019-A8CE-7231899E3273}"/>
    <cellStyle name="Ezres 3 5 3" xfId="594" xr:uid="{779855A8-3D01-4ED5-9032-1C6CE23975CB}"/>
    <cellStyle name="Ezres 3 6" xfId="97" xr:uid="{5E646534-C6A8-4960-A395-6322C5CA657C}"/>
    <cellStyle name="Ezres 3 6 2" xfId="328" xr:uid="{DF6382A1-D8E1-4D33-816D-2F30902CCE62}"/>
    <cellStyle name="Ezres 3 6 2 2" xfId="672" xr:uid="{AF06FAC0-8EFB-4F94-88A8-DFE0286FA116}"/>
    <cellStyle name="Ezres 3 6 3" xfId="523" xr:uid="{4743529C-9CBA-46BC-AA4F-D4A90ADCB03A}"/>
    <cellStyle name="Ezres 3 7" xfId="315" xr:uid="{5855B8F4-6930-4591-AA63-058F222F405F}"/>
    <cellStyle name="Ezres 3 7 2" xfId="658" xr:uid="{F8C3B3FC-7F43-4A6B-A0C5-44D3898E0CFF}"/>
    <cellStyle name="Ezres 3 8" xfId="474" xr:uid="{760DC45A-86A7-4B02-92B6-040F6E4F2728}"/>
    <cellStyle name="Ezres 3 9" xfId="507" xr:uid="{EBB1C9B7-2712-4FF7-9AE9-930177987886}"/>
    <cellStyle name="Ezres 30" xfId="151" xr:uid="{6267D926-46C5-41C1-8A0F-B23988B6D946}"/>
    <cellStyle name="Ezres 30 2" xfId="174" xr:uid="{721F4830-C29F-433B-8885-0D7EA55BAEFB}"/>
    <cellStyle name="Ezres 30 2 2" xfId="211" xr:uid="{44466AAE-0094-4385-9C36-6F1D2880F7DF}"/>
    <cellStyle name="Ezres 30 2 2 2" xfId="256" xr:uid="{A9365A9C-5F20-406B-82C1-5775304BEEC2}"/>
    <cellStyle name="Ezres 30 2 2 2 2" xfId="427" xr:uid="{7A05C08B-295A-4157-93DE-FB6B47DFE6A4}"/>
    <cellStyle name="Ezres 30 2 2 2 2 2" xfId="771" xr:uid="{95CE8B5E-F4BC-4B07-8C18-5C1A1B8241B6}"/>
    <cellStyle name="Ezres 30 2 2 2 3" xfId="623" xr:uid="{71A52D20-7D7C-4122-967D-5D41744D6BA5}"/>
    <cellStyle name="Ezres 30 2 2 3" xfId="390" xr:uid="{84D683EE-DAFB-4ECE-A512-052D84C7B08B}"/>
    <cellStyle name="Ezres 30 2 2 3 2" xfId="734" xr:uid="{10B6FC70-DF41-486E-9455-AEAEDE83FCA8}"/>
    <cellStyle name="Ezres 30 2 2 4" xfId="586" xr:uid="{E7B5AA90-DB07-4C9C-86EA-0298E82A82C3}"/>
    <cellStyle name="Ezres 30 2 3" xfId="234" xr:uid="{FC939755-E899-4B1C-896D-7229EFC8F8D4}"/>
    <cellStyle name="Ezres 30 2 3 2" xfId="408" xr:uid="{BEB5C81C-7DE7-43E0-9428-750103999A31}"/>
    <cellStyle name="Ezres 30 2 3 2 2" xfId="752" xr:uid="{59F7FDED-8FD5-471E-ADA4-E23513BFBEF3}"/>
    <cellStyle name="Ezres 30 2 3 3" xfId="604" xr:uid="{2C0AB975-28B1-4C4C-9D00-7EA76794C2F8}"/>
    <cellStyle name="Ezres 30 2 4" xfId="367" xr:uid="{9219ED4A-DB5D-47AD-AD9A-1BEEF71A1357}"/>
    <cellStyle name="Ezres 30 2 4 2" xfId="711" xr:uid="{DA7B9EA0-315C-4071-BB01-E0DAB8BC5101}"/>
    <cellStyle name="Ezres 30 2 5" xfId="562" xr:uid="{6EED27E3-2E7F-4B04-BCAE-BDDD0D966585}"/>
    <cellStyle name="Ezres 30 3" xfId="199" xr:uid="{1BFE0D83-05D4-43CD-A7F1-DC161AB90EB6}"/>
    <cellStyle name="Ezres 30 3 2" xfId="245" xr:uid="{4293C73D-FF18-4C57-A72C-85320B95B668}"/>
    <cellStyle name="Ezres 30 3 2 2" xfId="417" xr:uid="{25052F79-EBC7-4BC6-A808-12FCF66967BE}"/>
    <cellStyle name="Ezres 30 3 2 2 2" xfId="761" xr:uid="{AAA50B35-F678-4935-9992-921A664484FE}"/>
    <cellStyle name="Ezres 30 3 2 3" xfId="613" xr:uid="{6889B9F8-D014-4EC2-AB67-1ED8521324B8}"/>
    <cellStyle name="Ezres 30 3 3" xfId="380" xr:uid="{B5DB1FCE-9D42-4D81-8CCB-BEED79A11428}"/>
    <cellStyle name="Ezres 30 3 3 2" xfId="724" xr:uid="{D74721FA-8D75-4619-ABA9-6F0E45609083}"/>
    <cellStyle name="Ezres 30 3 4" xfId="576" xr:uid="{76EA02D9-3AF8-4E8D-B895-E4D025346518}"/>
    <cellStyle name="Ezres 30 4" xfId="224" xr:uid="{B57C76A2-B4DE-4F32-8993-CFF1A538828D}"/>
    <cellStyle name="Ezres 30 4 2" xfId="399" xr:uid="{B4BC113D-B5C9-4358-820F-ADBA15F6AFC6}"/>
    <cellStyle name="Ezres 30 4 2 2" xfId="743" xr:uid="{99BDBA6F-B9E2-4DB6-B8C2-0716FBE362C1}"/>
    <cellStyle name="Ezres 30 4 3" xfId="595" xr:uid="{034E6E73-E02A-44E4-87D3-FD8D9A9BE2C7}"/>
    <cellStyle name="Ezres 30 5" xfId="353" xr:uid="{E1A75133-F93C-46A4-980E-09EDDFCE616A}"/>
    <cellStyle name="Ezres 30 5 2" xfId="697" xr:uid="{18536D85-5CD3-435C-BD96-B5B362494E2B}"/>
    <cellStyle name="Ezres 30 6" xfId="548" xr:uid="{D0FED18F-312D-4537-8742-C05802946A7B}"/>
    <cellStyle name="Ezres 31" xfId="166" xr:uid="{2515E14C-6EF6-46B3-99A3-6E60D63E9F2B}"/>
    <cellStyle name="Ezres 31 2" xfId="363" xr:uid="{B184622F-A60B-4347-8260-43AA35628536}"/>
    <cellStyle name="Ezres 31 2 2" xfId="707" xr:uid="{0AC9BEE4-2FA7-4587-ADE7-3FFC6504F611}"/>
    <cellStyle name="Ezres 31 3" xfId="558" xr:uid="{31ABB90D-3907-4E2D-A0AB-33104452A146}"/>
    <cellStyle name="Ezres 32" xfId="165" xr:uid="{F97A982F-9A2F-4FFA-8358-09043D8475AE}"/>
    <cellStyle name="Ezres 32 2" xfId="183" xr:uid="{CCF305B8-A89E-4007-A996-DA7B759E1F64}"/>
    <cellStyle name="Ezres 32 2 2" xfId="373" xr:uid="{7389C34E-9C01-49C0-9581-2A064C735179}"/>
    <cellStyle name="Ezres 32 2 2 2" xfId="717" xr:uid="{80BD8CA1-DF3A-4D30-8C95-6080FBBEDD83}"/>
    <cellStyle name="Ezres 32 2 3" xfId="568" xr:uid="{11637663-49B3-44BD-9DC3-8B4A9C3DC618}"/>
    <cellStyle name="Ezres 32 3" xfId="207" xr:uid="{5AA5AC4A-95AF-48E8-8DDE-1C725374FD66}"/>
    <cellStyle name="Ezres 32 3 2" xfId="253" xr:uid="{F7D1C951-250E-4360-8918-20E3F38DDB04}"/>
    <cellStyle name="Ezres 32 3 2 2" xfId="424" xr:uid="{1698BE96-71BA-47C5-B651-0D47E4E7B657}"/>
    <cellStyle name="Ezres 32 3 2 2 2" xfId="768" xr:uid="{DAC4AE7C-60D3-44C4-9622-DB2CBEBEB2FB}"/>
    <cellStyle name="Ezres 32 3 2 3" xfId="620" xr:uid="{96BF3903-A13B-4D9E-A67D-1A4C22290A34}"/>
    <cellStyle name="Ezres 32 3 3" xfId="387" xr:uid="{2C9B153F-D14D-42FA-BC49-E0884C30DFEB}"/>
    <cellStyle name="Ezres 32 3 3 2" xfId="731" xr:uid="{2055A882-1DE3-42E0-94C0-C740C8CBDDB7}"/>
    <cellStyle name="Ezres 32 3 4" xfId="583" xr:uid="{87CD5447-DAF4-4479-8137-14EDC10BC18D}"/>
    <cellStyle name="Ezres 32 4" xfId="231" xr:uid="{C50E498C-DBF6-4B1C-8FD5-4738F7791563}"/>
    <cellStyle name="Ezres 32 4 2" xfId="405" xr:uid="{61E3D97E-A980-41C4-924E-E8BA0ADF7581}"/>
    <cellStyle name="Ezres 32 4 2 2" xfId="749" xr:uid="{FE3CAEA1-5D7F-4F2B-B88B-762F5CDAEB2D}"/>
    <cellStyle name="Ezres 32 4 3" xfId="601" xr:uid="{A199C05E-1D5D-478E-9B09-6799EF9AE886}"/>
    <cellStyle name="Ezres 32 5" xfId="362" xr:uid="{694FD471-0A83-421A-9A85-9A883CF0906A}"/>
    <cellStyle name="Ezres 32 5 2" xfId="706" xr:uid="{8BE01D11-CD92-4FE8-A3C5-53CAE7936CA7}"/>
    <cellStyle name="Ezres 32 6" xfId="557" xr:uid="{45B20DD7-5FFC-4EBA-A9CD-0333E26559E7}"/>
    <cellStyle name="Ezres 33" xfId="185" xr:uid="{7266C878-E16E-4448-A392-C78BA0DA691A}"/>
    <cellStyle name="Ezres 33 2" xfId="218" xr:uid="{52E7C5C1-C80A-47A4-8CFC-6D15546E824A}"/>
    <cellStyle name="Ezres 33 2 2" xfId="263" xr:uid="{FF13F424-6485-4026-BFD1-488BA72E8EAF}"/>
    <cellStyle name="Ezres 33 2 2 2" xfId="433" xr:uid="{52F0793C-45EF-42E7-BFA2-CADF7A9A9831}"/>
    <cellStyle name="Ezres 33 2 2 2 2" xfId="777" xr:uid="{1EBE312A-75EF-419D-BD09-33E9312EDC82}"/>
    <cellStyle name="Ezres 33 2 2 3" xfId="629" xr:uid="{09F939A3-9459-48F4-8C38-8EB653604421}"/>
    <cellStyle name="Ezres 33 2 3" xfId="396" xr:uid="{2CEC55DF-220A-49DA-95B6-E5F08F5B73C1}"/>
    <cellStyle name="Ezres 33 2 3 2" xfId="740" xr:uid="{870CC1A8-E3C3-4616-8DFD-B6611B75C6E8}"/>
    <cellStyle name="Ezres 33 2 4" xfId="592" xr:uid="{F8461267-0BF8-4E92-A27F-42163C845764}"/>
    <cellStyle name="Ezres 33 3" xfId="241" xr:uid="{11F6A002-500A-4BA1-9826-6712411B2487}"/>
    <cellStyle name="Ezres 33 3 2" xfId="414" xr:uid="{EF2305BA-3A27-430E-8AA4-4F2084F643BD}"/>
    <cellStyle name="Ezres 33 3 2 2" xfId="758" xr:uid="{9E95ED05-BA24-4068-AA84-FEBCB8957562}"/>
    <cellStyle name="Ezres 33 3 3" xfId="610" xr:uid="{528BDA85-1736-4BA6-81A4-06DC58834580}"/>
    <cellStyle name="Ezres 33 4" xfId="374" xr:uid="{B22F411E-3FBF-4EDB-B67B-CE0F2C00AB0D}"/>
    <cellStyle name="Ezres 33 4 2" xfId="718" xr:uid="{B2CAA2B6-8AF6-4108-B467-44BEC5919E90}"/>
    <cellStyle name="Ezres 33 5" xfId="569" xr:uid="{A3DBE592-AB8F-43C9-9819-3F30BF74AE59}"/>
    <cellStyle name="Ezres 34" xfId="186" xr:uid="{C90798F2-90EA-4C9D-B457-51848C8A469E}"/>
    <cellStyle name="Ezres 34 2" xfId="219" xr:uid="{03B1156E-818A-4544-AD4B-39F82EEFA110}"/>
    <cellStyle name="Ezres 34 2 2" xfId="264" xr:uid="{A2DF7DEA-81E8-4236-ACD8-C234975D16A3}"/>
    <cellStyle name="Ezres 34 2 2 2" xfId="434" xr:uid="{84B57012-5192-49CE-A3BF-0CD13E2BCEB8}"/>
    <cellStyle name="Ezres 34 2 2 2 2" xfId="778" xr:uid="{B308B6DC-2606-4D29-B48F-91456061C635}"/>
    <cellStyle name="Ezres 34 2 2 3" xfId="630" xr:uid="{07EF343C-3B99-4379-883B-19DB24CE98E6}"/>
    <cellStyle name="Ezres 34 2 3" xfId="397" xr:uid="{E26019B6-3EA4-41D9-BDC3-4142F6159B2A}"/>
    <cellStyle name="Ezres 34 2 3 2" xfId="741" xr:uid="{749453FF-B82F-42CB-AB34-ABB4C1900561}"/>
    <cellStyle name="Ezres 34 2 4" xfId="593" xr:uid="{3EF884A5-C468-48AB-9314-CEA655859319}"/>
    <cellStyle name="Ezres 34 3" xfId="242" xr:uid="{D39958AC-7243-4D26-A5DD-2B2CDB92A8AE}"/>
    <cellStyle name="Ezres 34 3 2" xfId="415" xr:uid="{106FD46E-D2A0-48D4-B375-043ACBC46E0D}"/>
    <cellStyle name="Ezres 34 3 2 2" xfId="759" xr:uid="{450B6204-0072-4462-A167-278B0470B6A3}"/>
    <cellStyle name="Ezres 34 3 3" xfId="611" xr:uid="{3A68E261-B5D8-4EE0-A227-DE0DFBBFCEA8}"/>
    <cellStyle name="Ezres 34 4" xfId="375" xr:uid="{1A1A4FF7-87D0-4806-8F38-9CC64018A43B}"/>
    <cellStyle name="Ezres 34 4 2" xfId="719" xr:uid="{1758EB1E-66CD-4DCD-9A18-490FC1F877DF}"/>
    <cellStyle name="Ezres 34 5" xfId="570" xr:uid="{62992AEE-8661-4C42-A160-8C6AA75A88DD}"/>
    <cellStyle name="Ezres 35" xfId="169" xr:uid="{571B03A7-2166-4908-86D6-097C5004DCCF}"/>
    <cellStyle name="Ezres 35 2" xfId="209" xr:uid="{0BDCE8DD-7A8C-46EA-A550-2792EE0CE011}"/>
    <cellStyle name="Ezres 35 2 2" xfId="255" xr:uid="{006B5195-7AB3-4355-8134-D98C6F95CA91}"/>
    <cellStyle name="Ezres 35 2 2 2" xfId="426" xr:uid="{396E7456-833B-446C-9C48-3E6C46E452CA}"/>
    <cellStyle name="Ezres 35 2 2 2 2" xfId="770" xr:uid="{E2AD10F5-41F3-4B7F-91DF-38021DF6EC00}"/>
    <cellStyle name="Ezres 35 2 2 3" xfId="622" xr:uid="{9CFB3FD0-36D4-4F6F-BC20-7B9F5403DDE3}"/>
    <cellStyle name="Ezres 35 2 3" xfId="389" xr:uid="{2F991F96-5287-4C38-9ED0-D72F901E1ECE}"/>
    <cellStyle name="Ezres 35 2 3 2" xfId="733" xr:uid="{55CC0095-F46D-4A3F-815F-BF2878651C46}"/>
    <cellStyle name="Ezres 35 2 4" xfId="585" xr:uid="{B0638E9B-A1E4-4E87-A009-A75940320717}"/>
    <cellStyle name="Ezres 35 3" xfId="233" xr:uid="{E67F1555-8B27-4E43-966B-BD0BDBE3FF59}"/>
    <cellStyle name="Ezres 35 3 2" xfId="407" xr:uid="{A11904BD-1117-46BB-8468-553878FBF758}"/>
    <cellStyle name="Ezres 35 3 2 2" xfId="751" xr:uid="{9E8EA3F8-7F3F-4DC6-9116-DF67C51107FE}"/>
    <cellStyle name="Ezres 35 3 3" xfId="603" xr:uid="{A6AC843E-9804-411A-8AA1-4036097F5FDF}"/>
    <cellStyle name="Ezres 35 4" xfId="365" xr:uid="{7CA1AAC2-7013-4CFD-AE61-0685589765E5}"/>
    <cellStyle name="Ezres 35 4 2" xfId="709" xr:uid="{0F605F2C-9B6F-451B-88BE-A9FCF8B33875}"/>
    <cellStyle name="Ezres 35 5" xfId="560" xr:uid="{4D0ABDF2-07FF-4282-8B39-B0122F843984}"/>
    <cellStyle name="Ezres 36" xfId="266" xr:uid="{11F1D9D4-BC27-4F59-A080-C850FA94E1B6}"/>
    <cellStyle name="Ezres 37" xfId="84" xr:uid="{DF25BBA6-3DC9-40ED-B22B-A9DA293D3CB4}"/>
    <cellStyle name="Ezres 37 2" xfId="323" xr:uid="{73969A64-7431-4057-BD0D-99CFC1E7CE1E}"/>
    <cellStyle name="Ezres 37 2 2" xfId="667" xr:uid="{BA9030F9-D7CE-4673-8F59-C88BF37DF39B}"/>
    <cellStyle name="Ezres 37 3" xfId="518" xr:uid="{D9C6032D-780C-4701-B0EC-7733C5D84087}"/>
    <cellStyle name="Ezres 38" xfId="270" xr:uid="{8CEF0F28-9383-4DFE-939E-1DFCEC297087}"/>
    <cellStyle name="Ezres 38 2" xfId="437" xr:uid="{971DDDBE-12E3-4177-A74D-E7F828F73002}"/>
    <cellStyle name="Ezres 38 2 2" xfId="781" xr:uid="{B34B3864-3CDF-475A-8066-14D9A79E9367}"/>
    <cellStyle name="Ezres 38 3" xfId="633" xr:uid="{60F03AC6-10DC-4084-A187-9CA00B49BD48}"/>
    <cellStyle name="Ezres 39" xfId="272" xr:uid="{A1D51057-42E9-4CDF-84C0-BD07FE8FBE27}"/>
    <cellStyle name="Ezres 39 2" xfId="438" xr:uid="{0357205C-3B8B-4C51-9586-C09306CBB2D2}"/>
    <cellStyle name="Ezres 39 2 2" xfId="782" xr:uid="{E7B036F9-9C36-44F8-85BE-0BD040DA79F5}"/>
    <cellStyle name="Ezres 39 3" xfId="634" xr:uid="{20A45B86-499B-493B-8911-ADA3DF3B7537}"/>
    <cellStyle name="Ezres 4" xfId="46" xr:uid="{430B1E83-9637-47E2-9D0C-108000F7F857}"/>
    <cellStyle name="Ezres 4 2" xfId="95" xr:uid="{2DFE6D84-3230-4A30-9957-9F7616E9A108}"/>
    <cellStyle name="Ezres 4 2 2" xfId="327" xr:uid="{8A29D362-9256-4573-9C7E-98826DD5CBD0}"/>
    <cellStyle name="Ezres 4 2 2 2" xfId="671" xr:uid="{02B1A4A1-EDAB-4E59-BACF-75BE41B4CBAC}"/>
    <cellStyle name="Ezres 4 2 3" xfId="490" xr:uid="{15A784A4-4DA9-4130-8C04-5074DCA9B80B}"/>
    <cellStyle name="Ezres 4 2 4" xfId="522" xr:uid="{D1C6F885-0056-4245-8A78-46AFBAF856AE}"/>
    <cellStyle name="Ezres 4 3" xfId="317" xr:uid="{3CC4E21B-9A86-4738-BC81-189CA582AF38}"/>
    <cellStyle name="Ezres 4 3 2" xfId="660" xr:uid="{74AC6993-AF14-4490-AD75-0E5BFD64346B}"/>
    <cellStyle name="Ezres 4 4" xfId="476" xr:uid="{45CF6BAC-1371-425E-8018-B16FAE92DF42}"/>
    <cellStyle name="Ezres 4 4 2" xfId="511" xr:uid="{4C632704-1F0A-4240-BEF3-7783266DF2AF}"/>
    <cellStyle name="Ezres 4 5" xfId="500" xr:uid="{FDFB6E5A-663F-44C5-B2CD-E3C8FFAA2B50}"/>
    <cellStyle name="Ezres 4 6" xfId="69" xr:uid="{A47CB354-A906-4B2D-997E-F02DE45DC61A}"/>
    <cellStyle name="Ezres 40" xfId="275" xr:uid="{A25246D3-F229-4BDD-BB40-8F6493822B51}"/>
    <cellStyle name="Ezres 40 2" xfId="440" xr:uid="{6A153BE9-0DC5-4C97-98ED-01F441298269}"/>
    <cellStyle name="Ezres 40 2 2" xfId="784" xr:uid="{51E18D55-7D7F-4106-BBDE-9D2C1B2F695C}"/>
    <cellStyle name="Ezres 40 3" xfId="636" xr:uid="{85B7D5E6-8DF9-4A1B-BCCE-A7C68048A3F9}"/>
    <cellStyle name="Ezres 41" xfId="281" xr:uid="{DD515B9A-FB69-406C-B770-75C690FE8E4B}"/>
    <cellStyle name="Ezres 41 2" xfId="444" xr:uid="{F94177C0-75A2-49E4-BFF9-69DE6E7D1D4F}"/>
    <cellStyle name="Ezres 41 2 2" xfId="788" xr:uid="{941CE4F0-F2CC-4588-9DBD-D6C658500BE1}"/>
    <cellStyle name="Ezres 41 3" xfId="640" xr:uid="{106947CE-8FC2-4B8D-BA85-5F2A0D1036FD}"/>
    <cellStyle name="Ezres 42" xfId="282" xr:uid="{DE2110E1-75A4-4F2C-9DE2-454E45496318}"/>
    <cellStyle name="Ezres 42 2" xfId="445" xr:uid="{41DC3766-6E5A-46A2-B0A4-20D1B1B3FC6E}"/>
    <cellStyle name="Ezres 42 2 2" xfId="789" xr:uid="{4A158AF5-6C7A-4019-8B2B-66A4BF6D2E1B}"/>
    <cellStyle name="Ezres 42 3" xfId="462" xr:uid="{FB265F7B-9E4E-4C23-9B70-F04926E6089D}"/>
    <cellStyle name="Ezres 42 3 2" xfId="806" xr:uid="{628FCF5E-AC68-4F15-BD25-36F69058B591}"/>
    <cellStyle name="Ezres 42 4" xfId="641" xr:uid="{3966D958-E0AE-4D2A-8F91-C8996C3524A1}"/>
    <cellStyle name="Ezres 43" xfId="280" xr:uid="{D58A7617-2823-4FA6-972C-647E67AED58F}"/>
    <cellStyle name="Ezres 43 2" xfId="443" xr:uid="{AEE414EE-59E0-40A6-8A90-CDBB730AAADC}"/>
    <cellStyle name="Ezres 43 2 2" xfId="787" xr:uid="{7FDBB246-13FB-4DB3-83A3-21C5B8005E2D}"/>
    <cellStyle name="Ezres 43 3" xfId="464" xr:uid="{CD35A4E2-0109-4BCD-B9D9-E5D631B4B722}"/>
    <cellStyle name="Ezres 43 3 2" xfId="808" xr:uid="{9E2D0FD2-47A6-48C5-8CB8-032391022C93}"/>
    <cellStyle name="Ezres 43 4" xfId="639" xr:uid="{82DFAE2D-F764-4131-AEB5-541EDC4963B2}"/>
    <cellStyle name="Ezres 44" xfId="287" xr:uid="{46872F48-9621-471A-ABDF-0728D1E31934}"/>
    <cellStyle name="Ezres 44 2" xfId="447" xr:uid="{1A85024D-5C5B-48D9-B2ED-2796957236D1}"/>
    <cellStyle name="Ezres 44 2 2" xfId="791" xr:uid="{03E681EE-A568-4BB8-967F-B1E2F11A6DCD}"/>
    <cellStyle name="Ezres 44 3" xfId="643" xr:uid="{6EA3D93D-96AC-474D-888C-69367BA4AD2F}"/>
    <cellStyle name="Ezres 45" xfId="288" xr:uid="{7BB1495C-E5C9-4475-BD03-01D58741D8A8}"/>
    <cellStyle name="Ezres 45 2" xfId="448" xr:uid="{3737A2E6-FB0F-4704-9E69-FE7103ADC17E}"/>
    <cellStyle name="Ezres 45 2 2" xfId="792" xr:uid="{EDFFE97C-A0B1-44F7-9525-EC70E6CAA4EC}"/>
    <cellStyle name="Ezres 45 3" xfId="644" xr:uid="{B97A188A-1ED8-4CA1-B39B-50C8DCA1C383}"/>
    <cellStyle name="Ezres 46" xfId="286" xr:uid="{D5763430-5E7D-49A6-B763-AE76AB6FF88F}"/>
    <cellStyle name="Ezres 46 2" xfId="446" xr:uid="{32692E64-D7AE-417D-BC9B-CF880FD9BDF3}"/>
    <cellStyle name="Ezres 46 2 2" xfId="790" xr:uid="{A3CE382F-6937-411F-B065-68826E21094C}"/>
    <cellStyle name="Ezres 46 3" xfId="642" xr:uid="{3E9FBEB6-D245-448A-802A-AE10CE88B778}"/>
    <cellStyle name="Ezres 47" xfId="289" xr:uid="{95CBA904-CD0D-43F4-B23D-39F845B51C3C}"/>
    <cellStyle name="Ezres 47 2" xfId="449" xr:uid="{48CB18C6-B96C-4AE2-854B-57AB7BA41B90}"/>
    <cellStyle name="Ezres 47 2 2" xfId="793" xr:uid="{AEFDA2C3-C6BD-45C9-BDE0-5613CEF1BFCA}"/>
    <cellStyle name="Ezres 47 3" xfId="645" xr:uid="{CD4F61B1-B715-4A01-8BC5-E16177475799}"/>
    <cellStyle name="Ezres 48" xfId="291" xr:uid="{5035E628-D545-4F34-B6FD-0F6667547782}"/>
    <cellStyle name="Ezres 48 2" xfId="450" xr:uid="{5FEEF63A-EFCE-446C-877E-7D1F761F2959}"/>
    <cellStyle name="Ezres 48 2 2" xfId="794" xr:uid="{3AF8215A-3FA6-43F6-BC9E-EAA7C4002464}"/>
    <cellStyle name="Ezres 48 3" xfId="646" xr:uid="{4A2FBFF0-1573-4657-8334-FEF4AC5A0835}"/>
    <cellStyle name="Ezres 49" xfId="293" xr:uid="{DF4386C2-6F08-46E2-A7F5-9EECB021946C}"/>
    <cellStyle name="Ezres 49 2" xfId="451" xr:uid="{F8795F85-56FE-489D-85DE-EA44A66715F8}"/>
    <cellStyle name="Ezres 49 2 2" xfId="795" xr:uid="{B02D0881-0281-478D-B0C6-BC8E312E7368}"/>
    <cellStyle name="Ezres 49 3" xfId="647" xr:uid="{4EB07357-87A6-4D4C-B1C4-7BFC6C5CBBC3}"/>
    <cellStyle name="Ezres 5" xfId="36" xr:uid="{EBCF22F5-8823-4963-9606-F3A34D5E7CCF}"/>
    <cellStyle name="Ezres 5 2" xfId="107" xr:uid="{A57ADD53-3B61-4104-807D-6D262F4435BC}"/>
    <cellStyle name="Ezres 5 2 2" xfId="332" xr:uid="{56AA011C-97FC-4518-AA12-6D21D203D3E2}"/>
    <cellStyle name="Ezres 5 2 2 2" xfId="676" xr:uid="{2ACB4C70-ABFA-4EA0-8872-76D775F85273}"/>
    <cellStyle name="Ezres 5 2 3" xfId="527" xr:uid="{61405833-95D4-4D51-9CB1-A05B953D946D}"/>
    <cellStyle name="Ezres 5 3" xfId="320" xr:uid="{B484C000-E095-44D1-94F2-43867BA6D87A}"/>
    <cellStyle name="Ezres 5 3 2" xfId="664" xr:uid="{97B12BCD-33A2-40B4-AC82-0D454D62AACD}"/>
    <cellStyle name="Ezres 5 4" xfId="487" xr:uid="{E145DE7F-0F79-46D2-A7E3-7D4E5D3FA865}"/>
    <cellStyle name="Ezres 5 5" xfId="515" xr:uid="{45C2DAB5-8100-409C-B388-7D408E417912}"/>
    <cellStyle name="Ezres 5 6" xfId="72" xr:uid="{8198D105-00BB-43F5-8E52-BF4BEC8E19A6}"/>
    <cellStyle name="Ezres 50" xfId="295" xr:uid="{D1C4CCBC-9E84-4A3F-827C-E75AC18D55F9}"/>
    <cellStyle name="Ezres 50 2" xfId="452" xr:uid="{8A7FB3E0-D5C9-4BE6-AF17-AE76DA44AC64}"/>
    <cellStyle name="Ezres 50 2 2" xfId="796" xr:uid="{866CAFBD-6591-42DD-A945-A2C06A0C50AC}"/>
    <cellStyle name="Ezres 50 3" xfId="648" xr:uid="{26B1E843-0E74-4B75-8702-CEF1393DDAFE}"/>
    <cellStyle name="Ezres 51" xfId="297" xr:uid="{6CFBAA29-FE24-4FE3-A72D-9089B8FF2770}"/>
    <cellStyle name="Ezres 51 2" xfId="453" xr:uid="{CC537CCB-0476-4F8F-8653-796C2B83E0F0}"/>
    <cellStyle name="Ezres 51 2 2" xfId="797" xr:uid="{38B8939F-637D-464D-A57D-1B0E728DFE16}"/>
    <cellStyle name="Ezres 51 3" xfId="649" xr:uid="{6D52C283-E24E-45C8-8C6E-6FD44CEC9B02}"/>
    <cellStyle name="Ezres 52" xfId="299" xr:uid="{72EC96F8-4A0B-461A-A1D4-A04BEA557434}"/>
    <cellStyle name="Ezres 52 2" xfId="454" xr:uid="{AFB5F0FB-2974-41E9-BAD6-194896C9A3F0}"/>
    <cellStyle name="Ezres 52 2 2" xfId="798" xr:uid="{491A8D60-7226-4412-A16D-12C249F84C43}"/>
    <cellStyle name="Ezres 52 3" xfId="650" xr:uid="{BEF48A50-9A80-4D5C-A410-046B57AE0673}"/>
    <cellStyle name="Ezres 53" xfId="301" xr:uid="{40E047E3-1C8D-46F5-B13B-A5F9CD2010DD}"/>
    <cellStyle name="Ezres 53 2" xfId="455" xr:uid="{7E478BA4-8962-43A4-B0D5-651859607711}"/>
    <cellStyle name="Ezres 53 2 2" xfId="799" xr:uid="{E713A0A6-4386-4FAD-B24A-4974619F52F8}"/>
    <cellStyle name="Ezres 53 3" xfId="651" xr:uid="{97A368EA-790D-4F1D-B21E-AC6072236228}"/>
    <cellStyle name="Ezres 54" xfId="303" xr:uid="{0A207AE4-75AB-4211-8BF2-C42F5AB9D10D}"/>
    <cellStyle name="Ezres 54 2" xfId="456" xr:uid="{5D51B158-E4C6-41CA-9CA4-D60FE5D36048}"/>
    <cellStyle name="Ezres 54 2 2" xfId="800" xr:uid="{60468101-BB47-4283-ABB6-901A1A00E06D}"/>
    <cellStyle name="Ezres 54 3" xfId="652" xr:uid="{6202F291-AE61-43D5-B6CC-C4AE449CFD70}"/>
    <cellStyle name="Ezres 55" xfId="305" xr:uid="{ECA42C07-D5B5-4242-AFB1-52E51D02313E}"/>
    <cellStyle name="Ezres 55 2" xfId="457" xr:uid="{7C6E7A4D-7E28-4461-9B53-9A768AEE9231}"/>
    <cellStyle name="Ezres 55 2 2" xfId="801" xr:uid="{B0929279-E671-4304-A4B8-62BC1908DCF2}"/>
    <cellStyle name="Ezres 55 3" xfId="653" xr:uid="{3239C800-2E2D-4240-A313-B362BA161617}"/>
    <cellStyle name="Ezres 56" xfId="307" xr:uid="{A4221534-4FB0-4CC6-8F9F-F5B609C17D51}"/>
    <cellStyle name="Ezres 56 2" xfId="458" xr:uid="{FEA65F42-D958-4A25-B5D4-F9374B4A8552}"/>
    <cellStyle name="Ezres 56 2 2" xfId="802" xr:uid="{9D97900F-4C0D-4192-8E7C-533EA6BD9FFF}"/>
    <cellStyle name="Ezres 56 3" xfId="654" xr:uid="{90056B16-E3AF-41F2-9B0C-F9991562B527}"/>
    <cellStyle name="Ezres 57" xfId="312" xr:uid="{51D4C1F9-BC1E-487B-A858-4F5A8D7B232C}"/>
    <cellStyle name="Ezres 57 2" xfId="655" xr:uid="{9888E922-B151-4ACD-9779-0B95A7B847BB}"/>
    <cellStyle name="Ezres 58" xfId="470" xr:uid="{671F95DE-5D9B-4028-BB90-6BA8767B688A}"/>
    <cellStyle name="Ezres 58 2" xfId="504" xr:uid="{BD360943-4E94-4793-969D-5FED9CDE7157}"/>
    <cellStyle name="Ezres 59" xfId="497" xr:uid="{E194F7C7-41F4-4B2D-A59E-910B74EF72A9}"/>
    <cellStyle name="Ezres 6" xfId="54" xr:uid="{D1651170-4927-4E80-A815-31CF805F8036}"/>
    <cellStyle name="Ezres 6 2" xfId="334" xr:uid="{117CA509-E71B-44C6-B41F-F9EEA229998C}"/>
    <cellStyle name="Ezres 6 2 2" xfId="678" xr:uid="{5A27D0A9-B4A7-4008-BBFE-A8FDA5A84525}"/>
    <cellStyle name="Ezres 6 3" xfId="529" xr:uid="{B827E0E6-FA01-4264-8A49-6D093C577227}"/>
    <cellStyle name="Ezres 6 4" xfId="108" xr:uid="{15521418-5394-4FE3-B1F7-FEE70F69605B}"/>
    <cellStyle name="Ezres 60" xfId="574" xr:uid="{1D48C2D7-13B4-45DC-9327-72FFED980B1D}"/>
    <cellStyle name="Ezres 61" xfId="64" xr:uid="{AE167FED-5601-473F-BD1E-4BC31CA09E84}"/>
    <cellStyle name="Ezres 62" xfId="466" xr:uid="{8C3305A8-ADE9-442B-9648-48E76DEE81F9}"/>
    <cellStyle name="Ezres 7" xfId="92" xr:uid="{00C673C1-2DA5-42B2-A5A7-29D69893D835}"/>
    <cellStyle name="Ezres 7 2" xfId="325" xr:uid="{C3069E7E-124D-44C4-BA6A-5613708C8FB5}"/>
    <cellStyle name="Ezres 7 2 2" xfId="669" xr:uid="{74F73FAE-2435-4866-9A25-EF1251FB29D5}"/>
    <cellStyle name="Ezres 7 3" xfId="520" xr:uid="{F6F4C339-88B6-40C7-86D3-B5DF47C85D9A}"/>
    <cellStyle name="Ezres 8" xfId="90" xr:uid="{BF6A7B3D-4958-4739-A689-A3CCAA8AB0F7}"/>
    <cellStyle name="Ezres 8 2" xfId="324" xr:uid="{27C4D394-A55F-425E-950D-8A73690237A8}"/>
    <cellStyle name="Ezres 8 2 2" xfId="668" xr:uid="{D5010B59-4FA4-4D02-A8C4-BFD50D415379}"/>
    <cellStyle name="Ezres 8 3" xfId="519" xr:uid="{EEAEFBDB-BA54-4D9B-9BBE-ED95E69B01E5}"/>
    <cellStyle name="Ezres 9" xfId="94" xr:uid="{C802E632-7787-4C70-B8DF-05D42D422343}"/>
    <cellStyle name="Ezres 9 2" xfId="326" xr:uid="{0908C4FD-E046-463F-97C0-AB0F3FA0A8CC}"/>
    <cellStyle name="Ezres 9 2 2" xfId="670" xr:uid="{E0C85510-FF97-44B0-920D-3FE2FD912370}"/>
    <cellStyle name="Ezres 9 3" xfId="521" xr:uid="{68CCCEC1-B2E6-4CE5-AC2F-ED323E666D58}"/>
    <cellStyle name="hivatkoz" xfId="93" xr:uid="{30691043-6354-4E3E-97C6-F28BFB84DBAD}"/>
    <cellStyle name="Hivatkozás 2" xfId="139" xr:uid="{E618EB75-221E-4D02-86BA-34948F583B38}"/>
    <cellStyle name="Hivatkozás 3" xfId="182" xr:uid="{96F74BC6-B659-4579-90C4-A7B226CA00FB}"/>
    <cellStyle name="Input value" xfId="2" xr:uid="{FB343DC4-ACBB-4D93-86DE-6FAFD75225FE}"/>
    <cellStyle name="Jelölőszín 4 2" xfId="157" xr:uid="{17E886DD-CA58-449E-9DF0-0B9B29A75A29}"/>
    <cellStyle name="Jelölőszín 4 3" xfId="172" xr:uid="{8941CB41-A2B5-4498-975D-D6DADBBC5A47}"/>
    <cellStyle name="keplet_hor" xfId="87" xr:uid="{C76C2CB6-66AE-4C48-B6AA-8C929800D1FE}"/>
    <cellStyle name="Normál" xfId="0" builtinId="0"/>
    <cellStyle name="Normál 10" xfId="164" xr:uid="{45BFB9DF-5B40-4975-9372-82905C4F984F}"/>
    <cellStyle name="Normál 10 2" xfId="361" xr:uid="{9634EAA5-E6DC-4B64-9EC4-145E28D522EB}"/>
    <cellStyle name="Normál 10 2 2" xfId="705" xr:uid="{6F555852-5831-47FB-8F0D-4E3B6D0F2965}"/>
    <cellStyle name="Normál 10 3" xfId="16" xr:uid="{468AD695-BEAB-4CEC-9EDC-747FB169A78A}"/>
    <cellStyle name="Normál 10 4" xfId="556" xr:uid="{5E7B7ECF-B988-491E-9DD7-7B2080E8F587}"/>
    <cellStyle name="Normál 11" xfId="163" xr:uid="{C236DF1D-734C-43A8-BF85-6C1B849CC71A}"/>
    <cellStyle name="Normál 11 2" xfId="205" xr:uid="{B0B0ADC4-E87B-4409-BEBE-E487B1BCEF5A}"/>
    <cellStyle name="Normál 11 2 2" xfId="251" xr:uid="{8FB33E7B-8C55-4A6C-8769-05554377EB01}"/>
    <cellStyle name="Normál 11 3" xfId="230" xr:uid="{565AB3D7-8658-44EA-B0B6-06C607477911}"/>
    <cellStyle name="Normál 12" xfId="170" xr:uid="{9D75FC74-B3C0-4317-A30C-1F68C7B9F9A3}"/>
    <cellStyle name="Normál 12 2" xfId="210" xr:uid="{FB156A9E-51C1-41B0-86E5-0CF1ED02BD86}"/>
    <cellStyle name="Normál 13" xfId="187" xr:uid="{96240FF9-F96C-43AB-95DD-85F6E1F9E4BA}"/>
    <cellStyle name="Normál 13 2" xfId="220" xr:uid="{5EFB0425-25DE-4DF6-B022-905D3B869879}"/>
    <cellStyle name="Normál 14" xfId="10" xr:uid="{1B521B5E-F517-4D5D-B9D6-2138AABD548F}"/>
    <cellStyle name="Normál 14 2" xfId="3" xr:uid="{3DD25A4D-16A1-4DE9-BF2B-D151B8DDAB9D}"/>
    <cellStyle name="Normál 14 3" xfId="21" xr:uid="{6396253A-6BA3-41DF-BB30-0AF342D84E86}"/>
    <cellStyle name="Normál 15" xfId="51" xr:uid="{E07F81D4-DB0A-44CA-B6B5-A7AEC487AA2D}"/>
    <cellStyle name="Normál 15 2" xfId="17" xr:uid="{F1FD0642-3A82-4AC1-9BCF-323AFCFE93AC}"/>
    <cellStyle name="Normál 15 2 2" xfId="70" xr:uid="{9FB6B059-34E1-45A0-B81B-A2593A8E3F29}"/>
    <cellStyle name="Normál 15 2 2 2" xfId="318" xr:uid="{92BA0AB3-FDA4-4614-9FD9-ADEA4FF36877}"/>
    <cellStyle name="Normál 15 2 2 2 2" xfId="489" xr:uid="{B1715E13-51A1-450E-B332-93BBC8D8C63F}"/>
    <cellStyle name="Normál 15 2 2 2 2 2" xfId="662" xr:uid="{DA23E6C0-66A9-445B-9AD7-1E8421357833}"/>
    <cellStyle name="Normál 15 2 2 2 3" xfId="478" xr:uid="{1CD73021-67B2-4C7A-B6C5-A746E7D4280E}"/>
    <cellStyle name="Normál 15 2 2 2 4" xfId="499" xr:uid="{0E988EF7-AEA5-4E79-8845-BD965A5B2711}"/>
    <cellStyle name="Normál 15 2 2 3" xfId="460" xr:uid="{F52802C4-7660-4DF1-A781-4EB574A8F768}"/>
    <cellStyle name="Normál 15 2 2 3 2" xfId="484" xr:uid="{2DFE5199-DFDC-47FE-9339-3400C3166369}"/>
    <cellStyle name="Normál 15 2 2 3 3" xfId="804" xr:uid="{F97DAF8A-7C3B-497C-BA9E-04190C6F54E6}"/>
    <cellStyle name="Normál 15 2 2 4" xfId="475" xr:uid="{CB020641-D4A8-4317-A1E6-0B592E83EB34}"/>
    <cellStyle name="Normál 15 2 2 5" xfId="513" xr:uid="{0BBC128A-3371-4BE5-B484-DFD8EFDD5F3A}"/>
    <cellStyle name="Normál 15 2 3" xfId="314" xr:uid="{7D7F9715-2540-4D52-A175-21264FCC40D0}"/>
    <cellStyle name="Normál 15 2 3 2" xfId="657" xr:uid="{305DCFC1-58EC-4CF8-AF8C-8CDD3EAF4555}"/>
    <cellStyle name="Normál 15 2 4" xfId="472" xr:uid="{3ADC4A65-0DC0-4378-A0CA-C1AC91997CB4}"/>
    <cellStyle name="Normál 15 2 5" xfId="506" xr:uid="{85EE89CE-D796-49EA-AB06-D00ECAFFD6EA}"/>
    <cellStyle name="Normál 15 3" xfId="4" xr:uid="{365C175D-DB80-4F17-A00E-269D374DF67A}"/>
    <cellStyle name="Normál 15 3 2" xfId="23" xr:uid="{C6B28441-3F38-4034-B302-02EC7A6F6B7F}"/>
    <cellStyle name="Normál 15 3 2 2" xfId="485" xr:uid="{DF60A0CB-0189-419E-A00C-408D0B6500CD}"/>
    <cellStyle name="Normál 15 3 2 3" xfId="661" xr:uid="{DB9E3160-E196-4D98-83BA-651F7F9D9B34}"/>
    <cellStyle name="Normál 15 3 3" xfId="491" xr:uid="{5B824D5C-98FD-490D-BD0E-26DFD37386E2}"/>
    <cellStyle name="Normál 15 3 3 2" xfId="512" xr:uid="{0F5B6C4A-4571-4217-95D5-6A2DA219FBB9}"/>
    <cellStyle name="Normál 15 3 4" xfId="477" xr:uid="{2218EBBC-D492-4E63-98EE-E220B23685BF}"/>
    <cellStyle name="Normál 15 3 5" xfId="501" xr:uid="{1CD0DFC3-5638-44D5-AFBF-FBAD2F944432}"/>
    <cellStyle name="Normál 15 4" xfId="52" xr:uid="{039F2CAB-4BB7-4155-9F51-97BCE3357749}"/>
    <cellStyle name="Normál 15 4 2" xfId="488" xr:uid="{7B35E126-C37B-4179-98DB-5ED3AC972240}"/>
    <cellStyle name="Normál 15 4 3" xfId="265" xr:uid="{804AC304-8764-4605-8F13-306EB8679ACF}"/>
    <cellStyle name="Normál 15 5" xfId="313" xr:uid="{E465ACB4-65C6-4444-A716-4FA469956F0C}"/>
    <cellStyle name="Normál 15 5 2" xfId="496" xr:uid="{48CF59E7-7AD5-4E9C-A612-CF02F6E60D12}"/>
    <cellStyle name="Normál 15 5 3" xfId="656" xr:uid="{11D18970-59BB-4B92-AE1E-97D8FB567527}"/>
    <cellStyle name="Normál 15 6" xfId="465" xr:uid="{366E1CCE-9583-4D92-8C52-5B9F69B09348}"/>
    <cellStyle name="Normál 15 6 2" xfId="809" xr:uid="{BE3FF81A-8BC0-4AF0-B725-33037C09D2EE}"/>
    <cellStyle name="Normál 15 7" xfId="471" xr:uid="{6D3C65EB-90F5-4B54-B225-B8AD50E2EFEA}"/>
    <cellStyle name="Normál 15 7 2" xfId="505" xr:uid="{1A5E4EF3-D896-461A-81BC-7173711B5A10}"/>
    <cellStyle name="Normál 15 8" xfId="498" xr:uid="{E2AE1E19-E1CD-4DB7-8041-9A936E35C2EA}"/>
    <cellStyle name="Normál 16" xfId="74" xr:uid="{0861C3E7-D663-4D50-A953-F309539E245B}"/>
    <cellStyle name="Normál 16 2" xfId="322" xr:uid="{C77F6183-B13D-4B85-80FC-AFA92AA0F95C}"/>
    <cellStyle name="Normál 16 2 2" xfId="666" xr:uid="{82A23860-D969-4818-8067-C9B5FCB4BBA7}"/>
    <cellStyle name="Normál 16 3" xfId="517" xr:uid="{D4557C2C-09D2-40E5-BF5F-76DDA2A045BF}"/>
    <cellStyle name="Normál 17" xfId="193" xr:uid="{533559D3-9D6C-4845-AE9D-DEBACCBF700A}"/>
    <cellStyle name="Normál 17 2" xfId="377" xr:uid="{976EE4B8-7D83-42E0-8798-42D900C16E39}"/>
    <cellStyle name="Normál 17 2 2" xfId="721" xr:uid="{D1CDE352-6D89-4236-A615-735290C61793}"/>
    <cellStyle name="Normál 17 3" xfId="572" xr:uid="{F6FCD008-544B-450F-AFFD-80F8EBFBD5A8}"/>
    <cellStyle name="Normál 18" xfId="273" xr:uid="{B0514B16-EDDB-4E17-9E16-8846472A725B}"/>
    <cellStyle name="Normál 19" xfId="274" xr:uid="{0C97A6E5-EF6E-4DEE-B920-EDA65B5B468B}"/>
    <cellStyle name="Normál 19 2" xfId="439" xr:uid="{CCC6DA12-DED7-4AC9-A2BD-93872F4A4ACC}"/>
    <cellStyle name="Normál 19 2 2" xfId="783" xr:uid="{225D926B-BD9A-48DE-8912-E0D5C8F79849}"/>
    <cellStyle name="Normál 19 3" xfId="461" xr:uid="{90E05A68-C439-40AA-BE77-1DB536F70AD8}"/>
    <cellStyle name="Normál 19 3 2" xfId="805" xr:uid="{BFB7F8EA-0619-4083-BC5E-7FFA52B71360}"/>
    <cellStyle name="Normál 19 4" xfId="635" xr:uid="{C170606C-7F39-4961-8426-59601E2C060C}"/>
    <cellStyle name="Normal 2" xfId="32" xr:uid="{18076431-87DA-4EF8-B8F5-09EAAD710ABB}"/>
    <cellStyle name="Normál 2" xfId="8" xr:uid="{6C8E908C-2AE7-4817-A6A9-C09991F78149}"/>
    <cellStyle name="Normal 2 10" xfId="114" xr:uid="{B9D5EBA0-9D6A-4359-B4C7-DFB7A5B9ECB0}"/>
    <cellStyle name="Normál 2 10" xfId="152" xr:uid="{7C584E35-8F56-4A7C-A49E-0E9FDED7988E}"/>
    <cellStyle name="Normal 2 11" xfId="125" xr:uid="{1AFFE18B-DA9B-4518-B8AD-33AF537321BF}"/>
    <cellStyle name="Normál 2 11" xfId="180" xr:uid="{8C3CCC46-1A95-4BFE-8C05-ACCE68B05A89}"/>
    <cellStyle name="Normal 2 12" xfId="132" xr:uid="{53B6A643-4C1C-4C1A-B5C6-0919F2506F83}"/>
    <cellStyle name="Normál 2 12" xfId="184" xr:uid="{524367C7-C7D4-4F7A-8F35-05655815FDBA}"/>
    <cellStyle name="Normal 2 13" xfId="138" xr:uid="{6400D471-20A2-4A1B-9231-B2B4FE831775}"/>
    <cellStyle name="Normál 2 13" xfId="167" xr:uid="{DF10A678-FD9B-4DF6-BF18-B6232767CC73}"/>
    <cellStyle name="Normal 2 14" xfId="121" xr:uid="{05E912FD-10B1-4B14-B295-F717DBCC2A71}"/>
    <cellStyle name="Normál 2 14" xfId="192" xr:uid="{14A3FB4B-9CBC-48B4-ADDE-D717801851A0}"/>
    <cellStyle name="Normal 2 15" xfId="80" xr:uid="{2D6FBAC7-AFA5-462B-8172-CDF5058BAFB1}"/>
    <cellStyle name="Normál 2 15" xfId="75" xr:uid="{91C0DBFD-6687-40C1-B6E7-9D4EA2EFFCE5}"/>
    <cellStyle name="Normal 2 16" xfId="810" xr:uid="{D754B2F8-4136-454C-B968-B18BAF0052A0}"/>
    <cellStyle name="Normál 2 16" xfId="269" xr:uid="{9EA23A69-E1D1-498D-BEF5-E70FFBEE06DA}"/>
    <cellStyle name="Normál 2 17" xfId="271" xr:uid="{DB6DA032-690F-421D-A2BD-C1265EBD274C}"/>
    <cellStyle name="Normál 2 18" xfId="278" xr:uid="{7E60CF07-4999-4FBB-9ACA-E0B7F439A745}"/>
    <cellStyle name="Normál 2 19" xfId="283" xr:uid="{99F811A0-306F-4A7F-AFF7-AF756CFDB85A}"/>
    <cellStyle name="Normal 2 2" xfId="39" xr:uid="{CE2620C6-74D3-4D84-9D56-98FA333ABE18}"/>
    <cellStyle name="Normál 2 2" xfId="12" xr:uid="{D5EC7E42-16C9-4108-830B-2F869403BBAF}"/>
    <cellStyle name="Normál 2 2 2" xfId="22" xr:uid="{4BD0056D-EC21-4A7B-BB5C-7634B7DF8988}"/>
    <cellStyle name="Normál 2 2 2 2" xfId="194" xr:uid="{94C5EBBD-4292-430A-A341-C75563AC26FC}"/>
    <cellStyle name="Normál 2 2 3" xfId="492" xr:uid="{7B6A3E70-E170-489C-A67C-B43B5E6ED4FE}"/>
    <cellStyle name="Normál 2 2 4" xfId="76" xr:uid="{79033130-DBCF-46AA-8CAC-11E8D4E29835}"/>
    <cellStyle name="Normál 2 20" xfId="27" xr:uid="{95A98216-F7A4-4F14-B373-8E07AC90E83D}"/>
    <cellStyle name="Normál 2 21" xfId="284" xr:uid="{BC8A6338-34E1-4F56-809C-9A565AABCE14}"/>
    <cellStyle name="Normál 2 22" xfId="285" xr:uid="{A36A2645-DE17-44D2-B315-69B349E7259A}"/>
    <cellStyle name="Normál 2 23" xfId="290" xr:uid="{F07B253A-F460-4C6F-A1D2-F9364227C204}"/>
    <cellStyle name="Normál 2 24" xfId="292" xr:uid="{1E065748-4830-4717-A9C5-55E4935F39CF}"/>
    <cellStyle name="Normál 2 25" xfId="294" xr:uid="{D726154F-4AA5-4B3D-80E6-30B2010FC832}"/>
    <cellStyle name="Normál 2 26" xfId="296" xr:uid="{99A89B15-9F8B-44A4-9026-99645C007B62}"/>
    <cellStyle name="Normál 2 27" xfId="298" xr:uid="{BD5A87E6-EC76-4DAA-BC42-E083FF426447}"/>
    <cellStyle name="Normál 2 28" xfId="300" xr:uid="{13C994DF-8351-4267-9A2C-396FB7D8EEED}"/>
    <cellStyle name="Normál 2 29" xfId="302" xr:uid="{1E0CA5C1-9760-4FAE-BE3D-D247A072ABD9}"/>
    <cellStyle name="Normal 2 3" xfId="91" xr:uid="{1FD2C8D6-BB50-4B58-8A27-143A4DE28B2B}"/>
    <cellStyle name="Normál 2 3" xfId="19" xr:uid="{F5FD43CA-7D37-4641-8E0E-B633B17C9784}"/>
    <cellStyle name="Normál 2 3 2" xfId="82" xr:uid="{4D46775D-A570-464B-AE1A-4F340F1797CD}"/>
    <cellStyle name="Normál 2 3 2 2" xfId="96" xr:uid="{C12560A8-6C09-4473-8DBB-D48B00272912}"/>
    <cellStyle name="Normál 2 3 3" xfId="81" xr:uid="{724532E8-F81B-4C41-86D1-FABC52374616}"/>
    <cellStyle name="Normál 2 30" xfId="304" xr:uid="{01E2135D-6855-411D-ACDD-42F7329C0FB8}"/>
    <cellStyle name="Normál 2 31" xfId="306" xr:uid="{26C364D4-FBD8-41B6-B5C1-AAE880EB9A77}"/>
    <cellStyle name="Normál 2 32" xfId="308" xr:uid="{D104B650-4255-4203-A25A-2BA16E75D065}"/>
    <cellStyle name="Normál 2 33" xfId="309" xr:uid="{2A861A6C-80AC-4B3F-959F-1F4D5D55A3B3}"/>
    <cellStyle name="Normál 2 34" xfId="310" xr:uid="{4D8A6D7F-337D-442D-A4EC-9CEA8E141C46}"/>
    <cellStyle name="Normál 2 35" xfId="311" xr:uid="{A4DCD3D6-93E2-4097-AF4A-FBB364B8EFBC}"/>
    <cellStyle name="Normál 2 36" xfId="479" xr:uid="{1CBE82FE-770D-42B7-9BA5-9FB59F9D6E12}"/>
    <cellStyle name="Normál 2 36 2" xfId="508" xr:uid="{843019A5-E026-442D-9F39-7AB42CD5278D}"/>
    <cellStyle name="Normál 2 37" xfId="66" xr:uid="{6C1C937E-09D3-4F6F-A9E1-A32C263A28EF}"/>
    <cellStyle name="Normál 2 38" xfId="68" xr:uid="{766841F8-C2F2-46CA-B32B-C4D55BB1FF01}"/>
    <cellStyle name="Normal 2 4" xfId="102" xr:uid="{90738691-2BFC-4526-B882-28FCB513CE5F}"/>
    <cellStyle name="Normál 2 4" xfId="29" xr:uid="{CB84DA8E-B11B-412D-B142-F5AE37354CFE}"/>
    <cellStyle name="Normál 2 4 2" xfId="86" xr:uid="{653E1EFF-EDC8-4BEB-9B68-457694E3DB6C}"/>
    <cellStyle name="Normál 2 4 3" xfId="181" xr:uid="{CB537A89-043A-49ED-A230-42B786CB8B7A}"/>
    <cellStyle name="Normál 2 4 3 2" xfId="217" xr:uid="{6129266D-F083-494E-80A0-D1D8C68C69F4}"/>
    <cellStyle name="Normál 2 4 3 2 2" xfId="262" xr:uid="{9DB11296-FA6C-43CF-91E3-A9FC32631D03}"/>
    <cellStyle name="Normál 2 4 3 3" xfId="240" xr:uid="{64B86658-1B34-46DB-9AF3-6914F0EEE9E8}"/>
    <cellStyle name="Normál 2 4 4" xfId="189" xr:uid="{A2C7A9DB-3915-44CB-BB9D-F4BCB6E3D719}"/>
    <cellStyle name="Normál 2 4 4 2" xfId="243" xr:uid="{838069BA-B134-4AB1-9120-2FB7F9C17FDA}"/>
    <cellStyle name="Normál 2 4 5" xfId="222" xr:uid="{A298EF8B-EB7E-4276-8304-29065F4EF0B1}"/>
    <cellStyle name="Normál 2 4 6" xfId="83" xr:uid="{8B307A58-025A-438C-AAEE-5C5F4A621989}"/>
    <cellStyle name="Normal 2 5" xfId="104" xr:uid="{1696254C-9F86-47BA-B751-402644E9A640}"/>
    <cellStyle name="Normál 2 5" xfId="25" xr:uid="{21599BB0-F0E6-4FA2-AA1B-569B9651C772}"/>
    <cellStyle name="Normal 2 6" xfId="106" xr:uid="{F8AC9C50-9ABA-475C-99FD-4E263EEA5E5B}"/>
    <cellStyle name="Normál 2 6" xfId="56" xr:uid="{27FC715B-FDE4-4AE8-931B-25FBB45170B8}"/>
    <cellStyle name="Normál 2 6 2" xfId="134" xr:uid="{856F287D-80AC-467B-86C7-B625F810860D}"/>
    <cellStyle name="Normal 2 7" xfId="105" xr:uid="{0F664F45-3593-40F2-B7F0-CDD3CF27DFA1}"/>
    <cellStyle name="Normál 2 7" xfId="62" xr:uid="{058880B6-4ECB-4269-8DC5-614F35CE4A67}"/>
    <cellStyle name="Normál 2 7 2" xfId="135" xr:uid="{17FCDE07-F9BB-4FD9-99EC-4EBC3C9B0633}"/>
    <cellStyle name="Normal 2 8" xfId="110" xr:uid="{D3228AC9-333B-462F-BAEE-D3DA78DF9642}"/>
    <cellStyle name="Normál 2 8" xfId="146" xr:uid="{1265B051-DBEE-4BA6-8694-45FEB299B31C}"/>
    <cellStyle name="Normal 2 9" xfId="112" xr:uid="{A55378E5-C1F7-43BF-BB93-55C6A321B9EF}"/>
    <cellStyle name="Normál 2 9" xfId="153" xr:uid="{F8FC22E9-1EBC-44B7-9161-75D8CB1D1190}"/>
    <cellStyle name="Normál 20" xfId="459" xr:uid="{411AF3F8-33DB-4E59-82B9-46C8C97BDB17}"/>
    <cellStyle name="Normál 20 2" xfId="803" xr:uid="{DFD2CDD8-6CD7-483C-99A6-738930F4324E}"/>
    <cellStyle name="Normál 21" xfId="195" xr:uid="{A810B187-08B5-4CB5-A4D0-6B3E5416DAEA}"/>
    <cellStyle name="Normál 21 2" xfId="378" xr:uid="{5109F02C-20FD-4432-BDFA-D95B8F265E35}"/>
    <cellStyle name="Normál 21 2 2" xfId="722" xr:uid="{E15394FC-2C92-4BF6-B310-ACD5201B0207}"/>
    <cellStyle name="Normál 21 3" xfId="573" xr:uid="{FC564514-A38B-4A76-B77A-48EE4C0B4933}"/>
    <cellStyle name="Normál 22" xfId="467" xr:uid="{82CA5DB2-F627-4EBD-A997-D7DBA2840B73}"/>
    <cellStyle name="Normál 23" xfId="468" xr:uid="{DDB24C1D-6827-499C-BD7A-508CC6EC65D3}"/>
    <cellStyle name="Normál 24" xfId="469" xr:uid="{77B08DB7-433F-4A8A-9042-ED9CDDA927A2}"/>
    <cellStyle name="Normál 25" xfId="63" xr:uid="{DCBB5E44-C09D-4FAC-8678-4AD6BDC57F49}"/>
    <cellStyle name="Normal 3" xfId="99" xr:uid="{24849F9E-5E92-4CDB-B797-7945EAE31615}"/>
    <cellStyle name="Normál 3" xfId="6" xr:uid="{12553EAD-32A4-4294-90D1-51796BAD319D}"/>
    <cellStyle name="Normál 3 2" xfId="35" xr:uid="{9F159457-6649-417B-9EDE-8512514F3C8B}"/>
    <cellStyle name="Normál 3 2 2" xfId="188" xr:uid="{AB60A772-7860-4F97-9EF4-B904FE54695A}"/>
    <cellStyle name="Normál 3 2 3" xfId="338" xr:uid="{8CDC71EA-BFF0-4AF6-86FC-A4EF8EFF2888}"/>
    <cellStyle name="Normál 3 2 3 2" xfId="682" xr:uid="{3C1F79DB-A799-4F2D-B943-49DAD8232ABB}"/>
    <cellStyle name="Normál 3 2 4" xfId="494" xr:uid="{1247B3DD-F9DA-4B5D-9507-B24BF2DDFA53}"/>
    <cellStyle name="Normál 3 2 5" xfId="533" xr:uid="{B7C3D213-EB7F-4956-99AC-19A735CFA29C}"/>
    <cellStyle name="Normál 3 3" xfId="44" xr:uid="{EE7CEC77-B6E3-4BC2-8D69-705BAB20105A}"/>
    <cellStyle name="Normál 3 3 2" xfId="221" xr:uid="{F1C71A39-E365-4D42-94EB-0DB1AE98CFCC}"/>
    <cellStyle name="Normál 3 4" xfId="33" xr:uid="{534CD698-500C-44BC-B452-29B5507E6121}"/>
    <cellStyle name="Normál 3 5" xfId="58" xr:uid="{29256746-F8EA-42F1-BDF4-05C57531BF8F}"/>
    <cellStyle name="Normál 3 5 2" xfId="510" xr:uid="{7F12A28C-9922-4238-ACC3-99144A20AB5A}"/>
    <cellStyle name="Normál 3 6" xfId="503" xr:uid="{36B3AE0E-A794-48F9-8133-0C2BF223BA67}"/>
    <cellStyle name="Normal 4" xfId="115" xr:uid="{A4BDBB7D-46C5-4296-9EF9-110A9BD2C138}"/>
    <cellStyle name="Normál 4" xfId="37" xr:uid="{FF7DCBCF-364B-46ED-BB34-5B161B05884A}"/>
    <cellStyle name="Normál 4 2" xfId="47" xr:uid="{6DA2F4B7-95E0-468C-8066-4820F24E31D7}"/>
    <cellStyle name="Normál 4 2 2" xfId="190" xr:uid="{266AF0B8-DE1A-4B94-BB40-2C5650A214BF}"/>
    <cellStyle name="Normál 4 3" xfId="267" xr:uid="{ACA83CFC-D5DE-48D5-B717-5A00259514AA}"/>
    <cellStyle name="Normál 4 3 2" xfId="435" xr:uid="{1373B5C1-0DE7-4BAA-8BD7-0AF1C226A376}"/>
    <cellStyle name="Normál 4 3 2 2" xfId="779" xr:uid="{0D511D48-E303-4CE1-A5D2-25DD7A3DBC07}"/>
    <cellStyle name="Normál 4 3 3" xfId="631" xr:uid="{14F090D6-63F3-4FCD-81B2-9AA96ADA2492}"/>
    <cellStyle name="Normál 4 4" xfId="140" xr:uid="{2A8419B1-9BF5-486C-97D2-E25A70E9CB35}"/>
    <cellStyle name="Normál 4 5" xfId="319" xr:uid="{A49F252E-920D-497F-B89D-074098419062}"/>
    <cellStyle name="Normál 4 5 2" xfId="663" xr:uid="{4CECD366-FF3C-4391-8633-CA79DC69BD30}"/>
    <cellStyle name="Normál 4 6" xfId="480" xr:uid="{43A035A7-4A66-4089-9963-5AAD4E4838B7}"/>
    <cellStyle name="Normál 4 7" xfId="514" xr:uid="{477CB8B0-B4B6-4A09-AFF4-862188A6BE1F}"/>
    <cellStyle name="Normál 4 8" xfId="71" xr:uid="{6C6D5EC1-41BD-411D-8944-F10F2225FFE1}"/>
    <cellStyle name="Normál 40" xfId="101" xr:uid="{D995B8E1-E5E0-4BBC-9C5C-20FEB3748442}"/>
    <cellStyle name="Normál 40 2" xfId="330" xr:uid="{65A5D485-F579-4B96-9E87-7B2A9516C224}"/>
    <cellStyle name="Normál 40 2 2" xfId="674" xr:uid="{A9C9B729-85EE-4816-839D-B58D236C2016}"/>
    <cellStyle name="Normál 40 3" xfId="28" xr:uid="{C0EB0BD9-56B6-4201-879A-BEA5B0D00672}"/>
    <cellStyle name="Normál 40 3 2" xfId="333" xr:uid="{6B753392-A6BF-4831-99BF-33951A062A9E}"/>
    <cellStyle name="Normál 40 3 2 2" xfId="677" xr:uid="{6AF67C78-0E65-442E-B2DA-517D290FA317}"/>
    <cellStyle name="Normál 40 3 3" xfId="528" xr:uid="{5FD19F39-DA4E-43F3-845F-3793A5343CBA}"/>
    <cellStyle name="Normál 40 4" xfId="525" xr:uid="{691BA29F-83EA-4BB2-8FE8-E48399F2D233}"/>
    <cellStyle name="Normál 40 4 2" xfId="24" xr:uid="{7CA1EB77-477B-4AA8-9344-062B16F47F44}"/>
    <cellStyle name="Normál 40 8" xfId="40" xr:uid="{2F25B95E-A4A8-43B4-BECB-A769CF1EC0DA}"/>
    <cellStyle name="Normál 5" xfId="38" xr:uid="{A095D5FA-D832-4426-B087-531DD9CFD581}"/>
    <cellStyle name="Normál 5 2" xfId="31" xr:uid="{A4063A9B-08D7-48CB-BD0E-AA90CD362B34}"/>
    <cellStyle name="Normál 5 2 2" xfId="436" xr:uid="{7C372DD2-C340-4D65-A8CB-7F6BAB232FEB}"/>
    <cellStyle name="Normál 5 2 2 2" xfId="780" xr:uid="{7FD5B58A-4D96-492D-AF47-07617F2CA402}"/>
    <cellStyle name="Normál 5 2 3" xfId="632" xr:uid="{4B386504-51B8-476C-A186-9FE8537BDD76}"/>
    <cellStyle name="Normál 5 2 4" xfId="268" xr:uid="{158DEB74-ACEA-4B97-8671-BE4CFB2202E0}"/>
    <cellStyle name="Normál 5 3" xfId="48" xr:uid="{07E26083-8920-47AF-BE64-D6C27E5A5CCD}"/>
    <cellStyle name="Normál 5 3 2" xfId="481" xr:uid="{37C8FD4C-B12C-44DA-88C9-916AA0DAB194}"/>
    <cellStyle name="Normál 5 4" xfId="141" xr:uid="{3D77C81D-7A87-49CF-A93F-F8B3321B47BB}"/>
    <cellStyle name="Normál 6" xfId="41" xr:uid="{71F87771-B5B7-4F78-83FB-8F215E04210F}"/>
    <cellStyle name="Normál 6 2" xfId="49" xr:uid="{A3BA95F7-7974-419F-A669-491016DB0C65}"/>
    <cellStyle name="Normál 6 2 2" xfId="482" xr:uid="{8CCA387D-243B-4078-80EA-2EE5D1C4B3C7}"/>
    <cellStyle name="Normál 6 3" xfId="136" xr:uid="{6F9EEB86-48EA-438A-92B4-EB8E9B7BB0B5}"/>
    <cellStyle name="Normál 7" xfId="30" xr:uid="{C5B28606-5FF6-4CD0-B84B-D35DF9D909FA}"/>
    <cellStyle name="Normál 7 2" xfId="483" xr:uid="{5B71F58B-6AF5-451A-849B-B149F59529BF}"/>
    <cellStyle name="Normál 7 3" xfId="148" xr:uid="{A14BBBA1-04CA-45BD-8BC9-C1AD28D48217}"/>
    <cellStyle name="Normál 8" xfId="53" xr:uid="{B94D7255-67E4-4561-B2C8-405FA25BA0E0}"/>
    <cellStyle name="Normál 8 2" xfId="197" xr:uid="{82DDD8B2-4C19-41E7-BE82-4EB555565E3D}"/>
    <cellStyle name="Normál 8 2 2" xfId="379" xr:uid="{CB0B874E-7AA2-4570-B258-6FD33BE87CF2}"/>
    <cellStyle name="Normál 8 2 2 2" xfId="723" xr:uid="{54A30658-EFAF-4F58-AF1A-9630A07741DC}"/>
    <cellStyle name="Normál 8 2 3" xfId="575" xr:uid="{6119F2AB-AA0E-47C5-B7D5-FE2340A1B583}"/>
    <cellStyle name="Normál 8 3" xfId="486" xr:uid="{983B9379-34FF-4520-8504-B850E327F415}"/>
    <cellStyle name="Normál 8 4" xfId="149" xr:uid="{3F191D2E-5E5A-4A83-9D9D-6BA4C4000C01}"/>
    <cellStyle name="Normál 9" xfId="61" xr:uid="{08D7C84D-723A-447A-A841-11BCD8A506F6}"/>
    <cellStyle name="Normál 9 2" xfId="198" xr:uid="{66C363BA-DA8D-4A47-8159-2F707E26D973}"/>
    <cellStyle name="Normál 9 3" xfId="495" xr:uid="{AD4D97F5-069B-46A4-8E33-DD4FB45F2A9F}"/>
    <cellStyle name="Normál 9 4" xfId="150" xr:uid="{E847D5BF-16E1-4C4D-B8F4-74FF081A374A}"/>
    <cellStyle name="Pénznem 2" xfId="14" xr:uid="{E07994DD-3F68-4F5D-B864-B3D0E35FD954}"/>
    <cellStyle name="Pénznem 2 2" xfId="252" xr:uid="{ECDF0466-EDCA-4B21-B4C6-69FF1D4F9A31}"/>
    <cellStyle name="Pénznem 2 2 2" xfId="423" xr:uid="{253F8178-C78B-4972-8410-874F0AE9CDAE}"/>
    <cellStyle name="Pénznem 2 2 2 2" xfId="767" xr:uid="{BE9F31EE-18B8-40DD-AEFE-1F4D4F156F49}"/>
    <cellStyle name="Pénznem 2 2 3" xfId="619" xr:uid="{83CE5F18-3E5B-4482-B288-A94261B2BB9E}"/>
    <cellStyle name="Pénznem 2 3" xfId="386" xr:uid="{A6B77302-42C9-41D8-8951-C0ECEBA5C8EE}"/>
    <cellStyle name="Pénznem 2 3 2" xfId="730" xr:uid="{E2B4B3C9-2AB8-4CDA-B86E-EDAE4FA13708}"/>
    <cellStyle name="Pénznem 2 4" xfId="582" xr:uid="{C4C83E50-B344-4073-B268-2C8ECE84E9F0}"/>
    <cellStyle name="Pénznem 2 5" xfId="206" xr:uid="{62FD616E-9248-471B-94B6-9DE2A545FE89}"/>
    <cellStyle name="Pénznem 3" xfId="276" xr:uid="{6372EB3F-A9D2-4EC5-B753-24646AD288B4}"/>
    <cellStyle name="Pénznem 3 2" xfId="441" xr:uid="{7EEC5EF2-36A6-4366-8A7C-1AD143292017}"/>
    <cellStyle name="Pénznem 3 2 2" xfId="785" xr:uid="{37639C71-A5CC-47EA-8965-3FFDA87613D7}"/>
    <cellStyle name="Pénznem 3 3" xfId="463" xr:uid="{FD167BB3-6E39-4AA5-8444-2DD58A7357A0}"/>
    <cellStyle name="Pénznem 3 3 2" xfId="807" xr:uid="{F559F375-E64C-42B0-BBB0-07CB3511BE11}"/>
    <cellStyle name="Pénznem 3 4" xfId="637" xr:uid="{C6F2C20E-A77D-4F8B-A5FC-552330B3BBC7}"/>
    <cellStyle name="Percent 2" xfId="60" xr:uid="{61D0941C-D201-4C59-B680-C14B1CD11BD3}"/>
    <cellStyle name="Percent 2 2" xfId="98" xr:uid="{6D6CCB9F-DFB2-4226-8A30-20A09B65CF09}"/>
    <cellStyle name="Percent 3" xfId="109" xr:uid="{C59E1F9A-EB9C-4A20-86E2-8402DBE55765}"/>
    <cellStyle name="Rossz 2" xfId="158" xr:uid="{C94865CE-A8DD-4761-9474-8063DF403610}"/>
    <cellStyle name="Rossz 3" xfId="173" xr:uid="{5D6B9806-BF07-44EC-BADC-155C9CC388F7}"/>
    <cellStyle name="Százalék" xfId="5" builtinId="5"/>
    <cellStyle name="Százalék 2" xfId="11" xr:uid="{A7BB527B-B657-4796-8E43-471761A7C8DA}"/>
    <cellStyle name="Százalék 2 2" xfId="15" xr:uid="{EA5FB4BA-6E25-4B45-8640-F36421EB5FC5}"/>
    <cellStyle name="Százalék 2 2 2" xfId="118" xr:uid="{068E6241-E718-4908-A0B0-724AF452CB74}"/>
    <cellStyle name="Százalék 2 2 3" xfId="79" xr:uid="{7E9ECC93-F8C1-47FF-BC9E-71896EA8CDE2}"/>
    <cellStyle name="Százalék 2 3" xfId="78" xr:uid="{934D5D65-3A4D-4ACE-B969-C07BCCE81EBD}"/>
    <cellStyle name="Százalék 2 4" xfId="321" xr:uid="{A5835654-43A6-4174-BC34-60414931C5C8}"/>
    <cellStyle name="Százalék 2 4 2" xfId="665" xr:uid="{4B084179-FA25-4044-9BB5-913216E087D9}"/>
    <cellStyle name="Százalék 2 5" xfId="516" xr:uid="{F8FFD0A0-C999-464A-8387-A7999C7A37DC}"/>
    <cellStyle name="Százalék 2 6" xfId="73" xr:uid="{76D75DCE-166B-4417-BF7D-CF2126D14B88}"/>
    <cellStyle name="Százalék 3" xfId="55" xr:uid="{84F7D518-0561-4FDE-930B-FB57286CEFC8}"/>
    <cellStyle name="Százalék 3 2" xfId="196" xr:uid="{059278AE-20B0-4B3B-9BD5-B9FA7E012192}"/>
    <cellStyle name="Százalék 3 3" xfId="339" xr:uid="{159C0644-6C77-4719-A1E6-5C6F46434C41}"/>
    <cellStyle name="Százalék 3 3 2" xfId="683" xr:uid="{B75ED1C4-D04C-488E-96E0-2ADC58D94088}"/>
    <cellStyle name="Százalék 3 4" xfId="534" xr:uid="{FFB58150-9BB0-423B-8BF6-69B213FA4C6D}"/>
    <cellStyle name="Százalék 3 5" xfId="119" xr:uid="{5DE1BF87-8EA0-49FF-ADBC-5EFA24655038}"/>
    <cellStyle name="Százalék 4" xfId="131" xr:uid="{E0F4EEF5-130A-4426-85BE-18DAE8E1FE46}"/>
    <cellStyle name="Százalék 5" xfId="156" xr:uid="{C3DCF165-7BE8-4FE0-B528-50DDF256B74F}"/>
    <cellStyle name="Százalék 5 2" xfId="356" xr:uid="{FAD04E73-45B3-44AE-9548-57BF8985EF15}"/>
    <cellStyle name="Százalék 5 2 2" xfId="700" xr:uid="{CD385239-5B33-453A-976F-DE799F229620}"/>
    <cellStyle name="Százalék 5 3" xfId="551" xr:uid="{12D6B62C-04D9-4345-84C5-BB893CD6AA20}"/>
    <cellStyle name="Százalék 6" xfId="171" xr:uid="{B9C6BA94-47C1-4FCF-A47D-64AC06626C50}"/>
    <cellStyle name="Százalék 6 2" xfId="366" xr:uid="{39E96A81-D831-4192-B9B4-13DDAD4D85E9}"/>
    <cellStyle name="Százalék 6 2 2" xfId="710" xr:uid="{C210E455-5EBA-4E13-BDC4-F4DD0F5D482E}"/>
    <cellStyle name="Százalék 6 3" xfId="561" xr:uid="{16CC3994-301E-4EFE-84AA-AA21BE8C39CB}"/>
    <cellStyle name="Százalék 7" xfId="277" xr:uid="{F5F74CFB-3414-4B28-931F-93FCF1D91214}"/>
    <cellStyle name="Százalék 7 2" xfId="442" xr:uid="{85271989-4271-403B-A0D0-78E7FFE50E9C}"/>
    <cellStyle name="Százalék 7 2 2" xfId="786" xr:uid="{018B4DBB-BA88-4B5F-AFEE-FA3AF50230D1}"/>
    <cellStyle name="Százalék 7 3" xfId="638" xr:uid="{97ADB393-D0F4-44B9-A3D6-A266799D2DA1}"/>
  </cellStyles>
  <dxfs count="0"/>
  <tableStyles count="0" defaultTableStyle="TableStyleMedium2" defaultPivotStyle="PivotStyleLight16"/>
  <colors>
    <mruColors>
      <color rgb="FF5CD2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UR/HUF@%20at%20end-of-perio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13601-63D7-4A4D-BAA7-CF2A8435FD79}">
  <sheetPr codeName="Munka1"/>
  <dimension ref="A2:M90"/>
  <sheetViews>
    <sheetView showGridLines="0" workbookViewId="0">
      <selection activeCell="L65" sqref="L65"/>
    </sheetView>
  </sheetViews>
  <sheetFormatPr defaultColWidth="8.77734375" defaultRowHeight="14.4" outlineLevelRow="2" outlineLevelCol="2" x14ac:dyDescent="0.3"/>
  <cols>
    <col min="1" max="1" width="13.77734375" customWidth="1"/>
    <col min="2" max="2" width="46.33203125" bestFit="1" customWidth="1"/>
    <col min="3" max="3" width="33.44140625" customWidth="1"/>
    <col min="4" max="4" width="9.77734375" hidden="1" customWidth="1" outlineLevel="2" collapsed="1"/>
    <col min="5" max="5" width="9.33203125" hidden="1" customWidth="1" outlineLevel="2"/>
    <col min="6" max="7" width="9.44140625" hidden="1" customWidth="1" outlineLevel="2"/>
    <col min="8" max="8" width="9.109375" customWidth="1" outlineLevel="1" collapsed="1"/>
    <col min="9" max="9" width="9.109375" customWidth="1" outlineLevel="1"/>
    <col min="10" max="12" width="9.5546875" customWidth="1" outlineLevel="1"/>
  </cols>
  <sheetData>
    <row r="2" spans="1:12" x14ac:dyDescent="0.3">
      <c r="D2" s="363"/>
      <c r="E2" s="363"/>
    </row>
    <row r="4" spans="1:12" x14ac:dyDescent="0.3">
      <c r="A4" s="1" t="s">
        <v>0</v>
      </c>
      <c r="B4" s="112"/>
      <c r="C4" s="112" t="s">
        <v>1</v>
      </c>
      <c r="D4" s="2">
        <v>2016</v>
      </c>
      <c r="E4" s="2">
        <v>2017</v>
      </c>
      <c r="F4" s="2">
        <v>2018</v>
      </c>
      <c r="G4" s="2">
        <v>2019</v>
      </c>
      <c r="H4" s="2">
        <v>2020</v>
      </c>
      <c r="I4" s="2">
        <v>2021</v>
      </c>
      <c r="J4" s="2">
        <v>2022</v>
      </c>
      <c r="K4" s="2">
        <v>2023</v>
      </c>
      <c r="L4" s="2">
        <v>2024</v>
      </c>
    </row>
    <row r="5" spans="1:12" x14ac:dyDescent="0.3">
      <c r="B5" s="112" t="s">
        <v>358</v>
      </c>
      <c r="C5" s="113" t="s">
        <v>357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</row>
    <row r="6" spans="1:12" x14ac:dyDescent="0.3">
      <c r="B6" s="114" t="s">
        <v>3</v>
      </c>
      <c r="C6" s="115" t="s">
        <v>4</v>
      </c>
      <c r="D6" s="3">
        <f t="shared" ref="D6" si="0">SUM(D7:D17)</f>
        <v>6666.4420000000009</v>
      </c>
      <c r="E6" s="3">
        <f t="shared" ref="E6:K6" si="1">SUM(E7:E17)</f>
        <v>7546.1149999999998</v>
      </c>
      <c r="F6" s="3">
        <f t="shared" si="1"/>
        <v>13715.608</v>
      </c>
      <c r="G6" s="3">
        <f t="shared" si="1"/>
        <v>24536.760999999999</v>
      </c>
      <c r="H6" s="3">
        <f t="shared" si="1"/>
        <v>31065.255000000001</v>
      </c>
      <c r="I6" s="3">
        <f t="shared" si="1"/>
        <v>31370.772000000001</v>
      </c>
      <c r="J6" s="3">
        <f t="shared" si="1"/>
        <v>34941.456999999995</v>
      </c>
      <c r="K6" s="3">
        <f t="shared" si="1"/>
        <v>43572.925999999999</v>
      </c>
      <c r="L6" s="3">
        <f t="shared" ref="L6" si="2">SUM(L7:L17)</f>
        <v>60205.130000000005</v>
      </c>
    </row>
    <row r="7" spans="1:12" outlineLevel="1" x14ac:dyDescent="0.3">
      <c r="B7" t="s">
        <v>5</v>
      </c>
      <c r="C7" t="s">
        <v>6</v>
      </c>
      <c r="D7" s="5">
        <v>5012.8900000000003</v>
      </c>
      <c r="E7" s="5">
        <v>5850.5119999999997</v>
      </c>
      <c r="F7" s="5">
        <v>10715.944</v>
      </c>
      <c r="G7" s="5">
        <v>17711.706999999999</v>
      </c>
      <c r="H7" s="5">
        <v>25435.922999999999</v>
      </c>
      <c r="I7" s="5">
        <v>25738.088</v>
      </c>
      <c r="J7" s="5">
        <v>27843.737000000001</v>
      </c>
      <c r="K7" s="5">
        <v>35108.875</v>
      </c>
      <c r="L7" s="5">
        <v>48122.262999999999</v>
      </c>
    </row>
    <row r="8" spans="1:12" outlineLevel="2" x14ac:dyDescent="0.3">
      <c r="B8" t="s">
        <v>7</v>
      </c>
      <c r="C8" t="s">
        <v>8</v>
      </c>
      <c r="D8" s="5">
        <v>31.811</v>
      </c>
      <c r="E8" s="5">
        <v>33.707999999999998</v>
      </c>
      <c r="F8" s="5">
        <v>38.107999999999997</v>
      </c>
      <c r="G8" s="5">
        <v>73.105000000000004</v>
      </c>
      <c r="H8" s="5">
        <v>87.369</v>
      </c>
      <c r="I8" s="5">
        <v>0</v>
      </c>
      <c r="J8" s="5">
        <v>0</v>
      </c>
      <c r="K8" s="5">
        <v>0</v>
      </c>
      <c r="L8" s="5">
        <v>0</v>
      </c>
    </row>
    <row r="9" spans="1:12" outlineLevel="2" x14ac:dyDescent="0.3">
      <c r="B9" t="s">
        <v>9</v>
      </c>
      <c r="C9" s="116" t="s">
        <v>10</v>
      </c>
      <c r="D9" s="5">
        <v>729.721</v>
      </c>
      <c r="E9" s="5">
        <v>482.09199999999998</v>
      </c>
      <c r="F9" s="5">
        <v>253.77199999999999</v>
      </c>
      <c r="G9" s="5">
        <v>104.376</v>
      </c>
      <c r="H9" s="5">
        <v>0</v>
      </c>
      <c r="I9" s="5">
        <v>0</v>
      </c>
      <c r="J9" s="5">
        <v>0</v>
      </c>
      <c r="K9" s="5">
        <v>0</v>
      </c>
      <c r="L9" s="5">
        <v>0</v>
      </c>
    </row>
    <row r="10" spans="1:12" outlineLevel="2" x14ac:dyDescent="0.3">
      <c r="B10" t="s">
        <v>12</v>
      </c>
      <c r="C10" t="s">
        <v>13</v>
      </c>
      <c r="D10" s="5">
        <v>46.723999999999997</v>
      </c>
      <c r="E10" s="5">
        <v>54.981000000000002</v>
      </c>
      <c r="F10" s="5">
        <v>4.0190000000000001</v>
      </c>
      <c r="G10" s="5">
        <v>342.1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</row>
    <row r="11" spans="1:12" outlineLevel="1" x14ac:dyDescent="0.3">
      <c r="B11" t="s">
        <v>14</v>
      </c>
      <c r="C11" t="s">
        <v>15</v>
      </c>
      <c r="D11" s="5">
        <v>218.41800000000001</v>
      </c>
      <c r="E11" s="5">
        <v>420.62099999999998</v>
      </c>
      <c r="F11" s="5">
        <v>868.52599999999995</v>
      </c>
      <c r="G11" s="5">
        <v>3492.357</v>
      </c>
      <c r="H11" s="5">
        <v>3037.2689999999998</v>
      </c>
      <c r="I11" s="5">
        <v>2516.8200000000002</v>
      </c>
      <c r="J11" s="5">
        <v>2417.6750000000002</v>
      </c>
      <c r="K11" s="5">
        <v>2705.37</v>
      </c>
      <c r="L11" s="5">
        <v>5539.1270000000004</v>
      </c>
    </row>
    <row r="12" spans="1:12" outlineLevel="1" x14ac:dyDescent="0.3">
      <c r="B12" t="s">
        <v>16</v>
      </c>
      <c r="C12" t="s">
        <v>17</v>
      </c>
      <c r="D12" s="5">
        <v>367.85399999999998</v>
      </c>
      <c r="E12" s="5">
        <v>283.64</v>
      </c>
      <c r="F12" s="5">
        <v>1476.732</v>
      </c>
      <c r="G12" s="5">
        <v>1407.741</v>
      </c>
      <c r="H12" s="5">
        <v>1212.9870000000001</v>
      </c>
      <c r="I12" s="5">
        <v>1052.2159999999999</v>
      </c>
      <c r="J12" s="5">
        <v>925.86</v>
      </c>
      <c r="K12" s="5">
        <v>799.50400000000002</v>
      </c>
      <c r="L12" s="5">
        <v>0</v>
      </c>
    </row>
    <row r="13" spans="1:12" outlineLevel="1" x14ac:dyDescent="0.3">
      <c r="B13" s="63" t="s">
        <v>163</v>
      </c>
      <c r="C13" s="63" t="s">
        <v>183</v>
      </c>
      <c r="D13" s="5"/>
      <c r="E13" s="5"/>
      <c r="F13" s="5"/>
      <c r="G13" s="5">
        <v>924.76800000000003</v>
      </c>
      <c r="H13" s="5">
        <v>1063.615</v>
      </c>
      <c r="I13" s="5">
        <v>1766.502</v>
      </c>
      <c r="J13" s="5">
        <v>2016.58</v>
      </c>
      <c r="K13" s="5">
        <v>2431.7689999999998</v>
      </c>
      <c r="L13" s="5">
        <v>2898.152</v>
      </c>
    </row>
    <row r="14" spans="1:12" outlineLevel="1" x14ac:dyDescent="0.3">
      <c r="B14" t="s">
        <v>18</v>
      </c>
      <c r="C14" t="s">
        <v>18</v>
      </c>
      <c r="D14" s="5">
        <v>0</v>
      </c>
      <c r="E14" s="6" t="s">
        <v>19</v>
      </c>
      <c r="F14" s="6">
        <v>0</v>
      </c>
      <c r="G14" s="6">
        <v>0</v>
      </c>
      <c r="H14" s="6">
        <v>0</v>
      </c>
      <c r="I14" s="6">
        <v>0</v>
      </c>
      <c r="J14" s="6">
        <v>735.91300000000001</v>
      </c>
      <c r="K14" s="5">
        <v>1019.181</v>
      </c>
      <c r="L14" s="5">
        <v>2278.5569999999998</v>
      </c>
    </row>
    <row r="15" spans="1:12" outlineLevel="1" x14ac:dyDescent="0.3">
      <c r="B15" t="s">
        <v>20</v>
      </c>
      <c r="C15" t="s">
        <v>21</v>
      </c>
      <c r="D15" s="5">
        <v>72.89</v>
      </c>
      <c r="E15" s="5">
        <v>234.875</v>
      </c>
      <c r="F15" s="5">
        <v>139.756</v>
      </c>
      <c r="G15" s="5">
        <v>286.85599999999999</v>
      </c>
      <c r="H15" s="5">
        <v>132.81100000000001</v>
      </c>
      <c r="I15" s="5">
        <v>71.394999999999996</v>
      </c>
      <c r="J15" s="5">
        <v>31.99</v>
      </c>
      <c r="K15" s="5">
        <v>335.53699999999998</v>
      </c>
      <c r="L15" s="5">
        <v>0</v>
      </c>
    </row>
    <row r="16" spans="1:12" outlineLevel="1" x14ac:dyDescent="0.3">
      <c r="B16" t="s">
        <v>22</v>
      </c>
      <c r="C16" t="s">
        <v>23</v>
      </c>
      <c r="D16" s="5">
        <v>186.03399999999999</v>
      </c>
      <c r="E16" s="5">
        <v>185.58600000000001</v>
      </c>
      <c r="F16" s="5">
        <v>218.65100000000001</v>
      </c>
      <c r="G16" s="5">
        <v>193.65100000000001</v>
      </c>
      <c r="H16" s="6">
        <v>95.180999999999997</v>
      </c>
      <c r="I16" s="6">
        <v>225.65100000000001</v>
      </c>
      <c r="J16" s="6">
        <v>969.60199999999998</v>
      </c>
      <c r="K16" s="5">
        <v>1172.69</v>
      </c>
      <c r="L16" s="5">
        <v>1367.0309999999999</v>
      </c>
    </row>
    <row r="17" spans="2:13" outlineLevel="1" x14ac:dyDescent="0.3">
      <c r="B17" t="s">
        <v>24</v>
      </c>
      <c r="C17" t="s">
        <v>180</v>
      </c>
      <c r="D17" s="5">
        <v>0.1</v>
      </c>
      <c r="E17" s="5">
        <v>0.1</v>
      </c>
      <c r="F17" s="5">
        <v>0.1</v>
      </c>
      <c r="G17" s="5">
        <v>0.1</v>
      </c>
      <c r="H17" s="5">
        <v>0.1</v>
      </c>
      <c r="I17" s="5">
        <v>0.1</v>
      </c>
      <c r="J17" s="5">
        <v>0.1</v>
      </c>
      <c r="K17" s="5"/>
      <c r="L17" s="5"/>
    </row>
    <row r="18" spans="2:13" outlineLevel="1" collapsed="1" x14ac:dyDescent="0.3">
      <c r="D18" s="7"/>
      <c r="E18" s="7"/>
      <c r="F18" s="7"/>
      <c r="G18" s="7"/>
      <c r="H18" s="7"/>
      <c r="I18" s="7"/>
      <c r="J18" s="7"/>
      <c r="K18" s="7"/>
      <c r="L18" s="7"/>
    </row>
    <row r="19" spans="2:13" x14ac:dyDescent="0.3">
      <c r="B19" s="115" t="s">
        <v>25</v>
      </c>
      <c r="C19" s="115" t="s">
        <v>26</v>
      </c>
      <c r="D19" s="8">
        <f t="shared" ref="D19:L19" si="3">SUM(D20:D27)</f>
        <v>9481.3909999999996</v>
      </c>
      <c r="E19" s="8">
        <f t="shared" si="3"/>
        <v>9106.0049999999992</v>
      </c>
      <c r="F19" s="8">
        <f t="shared" si="3"/>
        <v>9143.49</v>
      </c>
      <c r="G19" s="8">
        <f t="shared" si="3"/>
        <v>13037.745999999999</v>
      </c>
      <c r="H19" s="8">
        <f t="shared" si="3"/>
        <v>13819.105</v>
      </c>
      <c r="I19" s="8">
        <f t="shared" si="3"/>
        <v>29389.976000000002</v>
      </c>
      <c r="J19" s="8">
        <f t="shared" si="3"/>
        <v>65078.937000000005</v>
      </c>
      <c r="K19" s="8">
        <f t="shared" si="3"/>
        <v>48404.853000000003</v>
      </c>
      <c r="L19" s="8">
        <f t="shared" si="3"/>
        <v>37858.398000000001</v>
      </c>
    </row>
    <row r="20" spans="2:13" outlineLevel="1" x14ac:dyDescent="0.3">
      <c r="B20" t="s">
        <v>27</v>
      </c>
      <c r="C20" t="s">
        <v>28</v>
      </c>
      <c r="D20" s="5">
        <v>55.222000000000001</v>
      </c>
      <c r="E20" s="5">
        <v>303.27100000000002</v>
      </c>
      <c r="F20" s="5">
        <v>213.14400000000001</v>
      </c>
      <c r="G20" s="5">
        <v>233.16499999999999</v>
      </c>
      <c r="H20" s="5">
        <v>442.62200000000001</v>
      </c>
      <c r="I20" s="5">
        <v>1076.779</v>
      </c>
      <c r="J20" s="5">
        <v>1779.133</v>
      </c>
      <c r="K20" s="5">
        <v>989.904</v>
      </c>
      <c r="L20" s="5">
        <v>1299.529</v>
      </c>
    </row>
    <row r="21" spans="2:13" outlineLevel="1" x14ac:dyDescent="0.3">
      <c r="B21" t="s">
        <v>29</v>
      </c>
      <c r="C21" t="s">
        <v>30</v>
      </c>
      <c r="D21" s="5">
        <v>3533.75</v>
      </c>
      <c r="E21" s="5">
        <v>3699.9859999999999</v>
      </c>
      <c r="F21" s="5">
        <v>3319.5839999999998</v>
      </c>
      <c r="G21" s="5">
        <v>2919.8359999999998</v>
      </c>
      <c r="H21" s="5">
        <v>3263.2240000000002</v>
      </c>
      <c r="I21" s="5">
        <v>4425.3450000000003</v>
      </c>
      <c r="J21" s="5">
        <v>24562.537</v>
      </c>
      <c r="K21" s="5">
        <v>10863.76</v>
      </c>
      <c r="L21" s="5">
        <v>13084.540999999999</v>
      </c>
    </row>
    <row r="22" spans="2:13" outlineLevel="1" x14ac:dyDescent="0.3">
      <c r="B22" s="63" t="s">
        <v>186</v>
      </c>
      <c r="C22" t="s">
        <v>179</v>
      </c>
      <c r="D22" s="5">
        <v>273.40199999999999</v>
      </c>
      <c r="E22" s="5">
        <v>873.94899999999996</v>
      </c>
      <c r="F22" s="5">
        <v>287</v>
      </c>
      <c r="G22" s="5">
        <v>160.81399999999999</v>
      </c>
      <c r="H22" s="5">
        <v>128.94900000000001</v>
      </c>
      <c r="I22" s="5">
        <v>0</v>
      </c>
      <c r="J22" s="5">
        <v>0</v>
      </c>
      <c r="K22" s="5">
        <v>0</v>
      </c>
      <c r="L22" s="5">
        <v>0</v>
      </c>
    </row>
    <row r="23" spans="2:13" outlineLevel="1" x14ac:dyDescent="0.3">
      <c r="B23" t="s">
        <v>12</v>
      </c>
      <c r="C23" t="s">
        <v>13</v>
      </c>
      <c r="D23" s="5"/>
      <c r="E23" s="5"/>
      <c r="F23" s="5"/>
      <c r="G23" s="5"/>
      <c r="H23" s="5">
        <v>843.48800000000006</v>
      </c>
      <c r="I23" s="5">
        <v>2395.5250000000001</v>
      </c>
      <c r="J23" s="5">
        <v>1521.34</v>
      </c>
      <c r="K23" s="5">
        <v>1051.1980000000001</v>
      </c>
      <c r="L23" s="5">
        <v>1586.7180000000001</v>
      </c>
    </row>
    <row r="24" spans="2:13" outlineLevel="1" x14ac:dyDescent="0.3">
      <c r="B24" t="s">
        <v>31</v>
      </c>
      <c r="C24" t="s">
        <v>32</v>
      </c>
      <c r="D24" s="5">
        <v>1275.48</v>
      </c>
      <c r="E24" s="5">
        <v>265.75299999999999</v>
      </c>
      <c r="F24" s="5">
        <v>915.40099999999995</v>
      </c>
      <c r="G24" s="5">
        <v>360.98700000000002</v>
      </c>
      <c r="H24" s="5">
        <v>1697.162</v>
      </c>
      <c r="I24" s="5">
        <v>8627.1360000000004</v>
      </c>
      <c r="J24" s="5">
        <v>8500.2540000000008</v>
      </c>
      <c r="K24" s="5">
        <v>4164.4570000000003</v>
      </c>
      <c r="L24" s="5">
        <v>3381.9670000000001</v>
      </c>
    </row>
    <row r="25" spans="2:13" outlineLevel="1" x14ac:dyDescent="0.3">
      <c r="B25" t="s">
        <v>33</v>
      </c>
      <c r="C25" s="116" t="s">
        <v>34</v>
      </c>
      <c r="D25" s="5">
        <v>359.46899999999999</v>
      </c>
      <c r="E25" s="5">
        <v>1009.65</v>
      </c>
      <c r="F25" s="5">
        <v>1654.961</v>
      </c>
      <c r="G25" s="5">
        <v>4396.5959999999995</v>
      </c>
      <c r="H25" s="5">
        <v>3895.8029999999999</v>
      </c>
      <c r="I25" s="5">
        <v>9155.7180000000008</v>
      </c>
      <c r="J25" s="5">
        <v>12057.221</v>
      </c>
      <c r="K25" s="5">
        <v>6827.02</v>
      </c>
      <c r="L25" s="5">
        <v>8181.1419999999998</v>
      </c>
    </row>
    <row r="26" spans="2:13" outlineLevel="1" x14ac:dyDescent="0.3">
      <c r="B26" t="s">
        <v>35</v>
      </c>
      <c r="C26" t="s">
        <v>36</v>
      </c>
      <c r="D26" s="5">
        <v>68.977000000000004</v>
      </c>
      <c r="E26" s="5">
        <v>127.69799999999999</v>
      </c>
      <c r="F26" s="5">
        <v>192.18199999999999</v>
      </c>
      <c r="G26" s="5">
        <v>118.67700000000001</v>
      </c>
      <c r="H26" s="5">
        <v>92.811999999999998</v>
      </c>
      <c r="I26" s="5">
        <v>30.22</v>
      </c>
      <c r="J26" s="5">
        <v>193.124</v>
      </c>
      <c r="K26" s="5">
        <v>163.434</v>
      </c>
      <c r="L26" s="5">
        <v>122.60299999999999</v>
      </c>
    </row>
    <row r="27" spans="2:13" x14ac:dyDescent="0.3">
      <c r="B27" t="s">
        <v>37</v>
      </c>
      <c r="C27" t="s">
        <v>38</v>
      </c>
      <c r="D27" s="5">
        <v>3915.0909999999999</v>
      </c>
      <c r="E27" s="5">
        <v>2825.6979999999999</v>
      </c>
      <c r="F27" s="5">
        <v>2561.2179999999998</v>
      </c>
      <c r="G27" s="5">
        <v>4847.6710000000003</v>
      </c>
      <c r="H27" s="5">
        <v>3455.0450000000001</v>
      </c>
      <c r="I27" s="5">
        <v>3679.2530000000002</v>
      </c>
      <c r="J27" s="5">
        <v>16465.328000000001</v>
      </c>
      <c r="K27" s="5">
        <v>24345.08</v>
      </c>
      <c r="L27" s="5">
        <v>10201.897999999999</v>
      </c>
    </row>
    <row r="28" spans="2:13" ht="6.6" customHeight="1" thickBot="1" x14ac:dyDescent="0.35">
      <c r="D28" s="7"/>
      <c r="E28" s="7"/>
      <c r="F28" s="7"/>
      <c r="G28" s="7"/>
      <c r="H28" s="7"/>
      <c r="I28" s="7"/>
      <c r="J28" s="7"/>
      <c r="K28" s="7"/>
      <c r="L28" s="7"/>
    </row>
    <row r="29" spans="2:13" ht="15" thickBot="1" x14ac:dyDescent="0.35">
      <c r="B29" s="117" t="s">
        <v>41</v>
      </c>
      <c r="C29" s="117" t="s">
        <v>42</v>
      </c>
      <c r="D29" s="9">
        <f t="shared" ref="D29:K29" si="4">+D19+D6</f>
        <v>16147.833000000001</v>
      </c>
      <c r="E29" s="9">
        <f t="shared" si="4"/>
        <v>16652.12</v>
      </c>
      <c r="F29" s="9">
        <f t="shared" si="4"/>
        <v>22859.097999999998</v>
      </c>
      <c r="G29" s="9">
        <f t="shared" si="4"/>
        <v>37574.506999999998</v>
      </c>
      <c r="H29" s="9">
        <f t="shared" si="4"/>
        <v>44884.36</v>
      </c>
      <c r="I29" s="9">
        <f t="shared" si="4"/>
        <v>60760.748000000007</v>
      </c>
      <c r="J29" s="9">
        <f t="shared" si="4"/>
        <v>100020.394</v>
      </c>
      <c r="K29" s="9">
        <f t="shared" si="4"/>
        <v>91977.77900000001</v>
      </c>
      <c r="L29" s="9">
        <f t="shared" ref="L29" si="5">+L19+L6</f>
        <v>98063.528000000006</v>
      </c>
    </row>
    <row r="30" spans="2:13" ht="7.2" customHeight="1" x14ac:dyDescent="0.3">
      <c r="D30" s="5"/>
      <c r="E30" s="5"/>
      <c r="F30" s="5"/>
      <c r="G30" s="5"/>
      <c r="H30" s="5"/>
      <c r="I30" s="5"/>
      <c r="J30" s="5"/>
      <c r="K30" s="5"/>
      <c r="L30" s="5"/>
    </row>
    <row r="31" spans="2:13" x14ac:dyDescent="0.3">
      <c r="B31" s="115" t="s">
        <v>43</v>
      </c>
      <c r="C31" s="115" t="s">
        <v>44</v>
      </c>
      <c r="D31" s="8">
        <f t="shared" ref="D31:J31" si="6">+D32+D42</f>
        <v>4896.6480000000001</v>
      </c>
      <c r="E31" s="8">
        <f t="shared" si="6"/>
        <v>5119.4949999999999</v>
      </c>
      <c r="F31" s="8">
        <f t="shared" si="6"/>
        <v>5144.7329999999993</v>
      </c>
      <c r="G31" s="8">
        <f t="shared" si="6"/>
        <v>5749.8840000000009</v>
      </c>
      <c r="H31" s="8">
        <f t="shared" si="6"/>
        <v>8547.6569999999992</v>
      </c>
      <c r="I31" s="8">
        <f t="shared" si="6"/>
        <v>19009.317999999999</v>
      </c>
      <c r="J31" s="8">
        <f t="shared" si="6"/>
        <v>26687.862000000001</v>
      </c>
      <c r="K31" s="8">
        <f t="shared" ref="K31:L31" si="7">+K32+K42</f>
        <v>33854.114000000001</v>
      </c>
      <c r="L31" s="8">
        <f t="shared" si="7"/>
        <v>39463.998</v>
      </c>
    </row>
    <row r="32" spans="2:13" outlineLevel="1" x14ac:dyDescent="0.3">
      <c r="B32" s="49" t="s">
        <v>45</v>
      </c>
      <c r="C32" s="49" t="s">
        <v>46</v>
      </c>
      <c r="D32" s="5">
        <f t="shared" ref="D32" si="8">SUM(D33:D39)</f>
        <v>4924.7780000000002</v>
      </c>
      <c r="E32" s="5">
        <f>SUM(E33:E39)</f>
        <v>5145.1959999999999</v>
      </c>
      <c r="F32" s="5">
        <f>SUM(F33:F40)</f>
        <v>5151.5729999999994</v>
      </c>
      <c r="G32" s="5">
        <f>SUM(G33:G40)</f>
        <v>5753.8100000000013</v>
      </c>
      <c r="H32" s="5">
        <f>SUM(H33:H39)</f>
        <v>8539.8919999999998</v>
      </c>
      <c r="I32" s="5">
        <f>SUM(I33:I39)</f>
        <v>18999.287</v>
      </c>
      <c r="J32" s="5">
        <f>SUM(J33:J39)</f>
        <v>26602.913</v>
      </c>
      <c r="K32" s="5">
        <f>SUM(K33:K40)</f>
        <v>33810.529000000002</v>
      </c>
      <c r="L32" s="5">
        <f>SUM(L33:L40)</f>
        <v>39463.998</v>
      </c>
      <c r="M32" s="17"/>
    </row>
    <row r="33" spans="2:12" outlineLevel="1" x14ac:dyDescent="0.3">
      <c r="B33" t="s">
        <v>47</v>
      </c>
      <c r="C33" t="s">
        <v>48</v>
      </c>
      <c r="D33" s="5">
        <v>195.39</v>
      </c>
      <c r="E33" s="5">
        <v>195.39</v>
      </c>
      <c r="F33" s="5">
        <v>195.31399999999999</v>
      </c>
      <c r="G33" s="5">
        <v>232.94800000000001</v>
      </c>
      <c r="H33" s="5">
        <v>232.97200000000001</v>
      </c>
      <c r="I33" s="5">
        <v>242.23500000000001</v>
      </c>
      <c r="J33" s="5">
        <v>249.066</v>
      </c>
      <c r="K33" s="5">
        <v>247.53399999999999</v>
      </c>
      <c r="L33" s="5">
        <v>249.14</v>
      </c>
    </row>
    <row r="34" spans="2:12" outlineLevel="1" x14ac:dyDescent="0.3">
      <c r="B34" t="s">
        <v>178</v>
      </c>
      <c r="C34" t="s">
        <v>49</v>
      </c>
      <c r="D34" s="5">
        <v>3080.8380000000002</v>
      </c>
      <c r="E34" s="5">
        <v>3080.8380000000002</v>
      </c>
      <c r="F34" s="5">
        <v>3080.8380000000002</v>
      </c>
      <c r="G34" s="5">
        <v>5056.2070000000003</v>
      </c>
      <c r="H34" s="5">
        <v>5185.3429999999998</v>
      </c>
      <c r="I34" s="5">
        <v>5375.3689999999997</v>
      </c>
      <c r="J34" s="5">
        <v>6573.1480000000001</v>
      </c>
      <c r="K34" s="5">
        <v>6174.0870000000004</v>
      </c>
      <c r="L34" s="5">
        <v>6696.0619999999999</v>
      </c>
    </row>
    <row r="35" spans="2:12" outlineLevel="1" x14ac:dyDescent="0.3">
      <c r="B35" t="s">
        <v>135</v>
      </c>
      <c r="C35" t="s">
        <v>268</v>
      </c>
      <c r="D35" s="5"/>
      <c r="E35" s="5"/>
      <c r="F35" s="5"/>
      <c r="G35" s="5"/>
      <c r="H35" s="5">
        <v>-223.25899999999999</v>
      </c>
      <c r="I35" s="5">
        <v>0</v>
      </c>
      <c r="J35" s="5">
        <v>-1459.5440000000001</v>
      </c>
      <c r="K35" s="5">
        <v>-1885.8109999999999</v>
      </c>
      <c r="L35" s="5">
        <v>0</v>
      </c>
    </row>
    <row r="36" spans="2:12" outlineLevel="1" x14ac:dyDescent="0.3">
      <c r="B36" t="s">
        <v>50</v>
      </c>
      <c r="C36" t="s">
        <v>51</v>
      </c>
      <c r="D36" s="5">
        <v>42.295999999999999</v>
      </c>
      <c r="E36" s="5">
        <v>83.74</v>
      </c>
      <c r="F36" s="5">
        <v>92.69</v>
      </c>
      <c r="G36" s="5">
        <v>68.397999999999996</v>
      </c>
      <c r="H36" s="5">
        <v>62.819000000000003</v>
      </c>
      <c r="I36" s="5">
        <v>-206.875</v>
      </c>
      <c r="J36" s="5">
        <v>2069.2449999999999</v>
      </c>
      <c r="K36" s="5">
        <v>-2389.0239999999999</v>
      </c>
      <c r="L36" s="5">
        <v>-2237.6480000000001</v>
      </c>
    </row>
    <row r="37" spans="2:12" outlineLevel="1" x14ac:dyDescent="0.3">
      <c r="B37" t="s">
        <v>52</v>
      </c>
      <c r="C37" t="s">
        <v>53</v>
      </c>
      <c r="D37" s="5">
        <v>1348.3430000000001</v>
      </c>
      <c r="E37" s="5">
        <v>2006.8610000000001</v>
      </c>
      <c r="F37" s="5">
        <v>2267.98</v>
      </c>
      <c r="G37" s="5">
        <v>2303.2820000000002</v>
      </c>
      <c r="H37" s="5">
        <v>2882.2159999999999</v>
      </c>
      <c r="I37" s="5">
        <v>8282.1270000000004</v>
      </c>
      <c r="J37" s="5">
        <v>19170.998</v>
      </c>
      <c r="K37" s="5">
        <v>31663.742999999999</v>
      </c>
      <c r="L37" s="5">
        <v>33280.351000000002</v>
      </c>
    </row>
    <row r="38" spans="2:12" outlineLevel="1" x14ac:dyDescent="0.3">
      <c r="B38" t="s">
        <v>54</v>
      </c>
      <c r="C38" t="s">
        <v>55</v>
      </c>
      <c r="D38" s="5">
        <v>-182.42400000000001</v>
      </c>
      <c r="E38" s="5">
        <v>-182.42400000000001</v>
      </c>
      <c r="F38" s="5">
        <v>-186.40799999999999</v>
      </c>
      <c r="G38" s="5">
        <v>-192.53399999999999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2:12" outlineLevel="1" x14ac:dyDescent="0.3">
      <c r="B39" t="s">
        <v>56</v>
      </c>
      <c r="C39" t="s">
        <v>57</v>
      </c>
      <c r="D39" s="5">
        <v>440.33499999999998</v>
      </c>
      <c r="E39" s="5">
        <v>-39.209000000000003</v>
      </c>
      <c r="F39" s="5">
        <v>-299.10300000000001</v>
      </c>
      <c r="G39" s="5">
        <v>-1713.432</v>
      </c>
      <c r="H39" s="5">
        <v>399.80099999999999</v>
      </c>
      <c r="I39" s="5">
        <v>5306.4309999999996</v>
      </c>
      <c r="J39" s="5">
        <v>0</v>
      </c>
      <c r="K39" s="5">
        <v>0</v>
      </c>
      <c r="L39" s="5">
        <v>1476.0930000000001</v>
      </c>
    </row>
    <row r="40" spans="2:12" outlineLevel="1" x14ac:dyDescent="0.3">
      <c r="B40" t="s">
        <v>58</v>
      </c>
      <c r="C40" t="s">
        <v>181</v>
      </c>
      <c r="D40" s="5">
        <v>0</v>
      </c>
      <c r="E40" s="5">
        <v>0</v>
      </c>
      <c r="F40" s="5">
        <v>0.26200000000000001</v>
      </c>
      <c r="G40" s="5">
        <v>-1.0589999999999999</v>
      </c>
      <c r="H40">
        <v>0</v>
      </c>
      <c r="I40">
        <v>0</v>
      </c>
      <c r="J40">
        <v>0</v>
      </c>
      <c r="K40">
        <v>0</v>
      </c>
      <c r="L40">
        <v>0</v>
      </c>
    </row>
    <row r="41" spans="2:12" outlineLevel="1" x14ac:dyDescent="0.3">
      <c r="B41" t="s">
        <v>311</v>
      </c>
      <c r="C41" t="s">
        <v>311</v>
      </c>
      <c r="D41" s="5"/>
      <c r="E41" s="5"/>
      <c r="F41" s="5"/>
      <c r="G41" s="5"/>
      <c r="K41" s="5">
        <v>0</v>
      </c>
      <c r="L41" s="5">
        <v>0</v>
      </c>
    </row>
    <row r="42" spans="2:12" outlineLevel="1" x14ac:dyDescent="0.3">
      <c r="B42" s="49" t="s">
        <v>59</v>
      </c>
      <c r="C42" s="49" t="s">
        <v>60</v>
      </c>
      <c r="D42" s="10">
        <v>-28.13</v>
      </c>
      <c r="E42" s="10">
        <v>-25.701000000000001</v>
      </c>
      <c r="F42" s="10">
        <v>-6.84</v>
      </c>
      <c r="G42" s="10">
        <v>-3.9260000000000002</v>
      </c>
      <c r="H42" s="212">
        <v>7.7649999999999997</v>
      </c>
      <c r="I42" s="212">
        <v>10.031000000000001</v>
      </c>
      <c r="J42" s="212">
        <v>84.948999999999998</v>
      </c>
      <c r="K42" s="212">
        <v>43.585000000000001</v>
      </c>
      <c r="L42" s="212">
        <v>0</v>
      </c>
    </row>
    <row r="43" spans="2:12" outlineLevel="1" collapsed="1" x14ac:dyDescent="0.3">
      <c r="D43" s="5"/>
      <c r="E43" s="5"/>
      <c r="F43" s="5"/>
      <c r="G43" s="5"/>
      <c r="H43" s="5"/>
      <c r="I43" s="5"/>
      <c r="J43" s="5"/>
      <c r="K43" s="5"/>
      <c r="L43" s="5"/>
    </row>
    <row r="44" spans="2:12" x14ac:dyDescent="0.3">
      <c r="B44" s="115" t="s">
        <v>61</v>
      </c>
      <c r="C44" s="115" t="s">
        <v>62</v>
      </c>
      <c r="D44" s="8">
        <f t="shared" ref="D44:I44" si="9">SUM(D45:D51)</f>
        <v>3947.2909999999993</v>
      </c>
      <c r="E44" s="8">
        <f t="shared" si="9"/>
        <v>6254.7900000000009</v>
      </c>
      <c r="F44" s="8">
        <f t="shared" si="9"/>
        <v>9130.4669999999987</v>
      </c>
      <c r="G44" s="8">
        <f t="shared" si="9"/>
        <v>21758.606</v>
      </c>
      <c r="H44" s="8">
        <f t="shared" si="9"/>
        <v>27905.832999999999</v>
      </c>
      <c r="I44" s="8">
        <f t="shared" si="9"/>
        <v>24490.928</v>
      </c>
      <c r="J44" s="8">
        <v>26726</v>
      </c>
      <c r="K44" s="8">
        <f>SUM(K45:K51)</f>
        <v>28653.388999999999</v>
      </c>
      <c r="L44" s="8">
        <f>SUM(L45:L51)</f>
        <v>27885.511999999999</v>
      </c>
    </row>
    <row r="45" spans="2:12" x14ac:dyDescent="0.3">
      <c r="B45" t="s">
        <v>63</v>
      </c>
      <c r="C45" t="s">
        <v>23</v>
      </c>
      <c r="D45" s="5">
        <v>1924.751</v>
      </c>
      <c r="E45" s="5">
        <v>1789.587</v>
      </c>
      <c r="F45" s="5">
        <v>5263.1850000000004</v>
      </c>
      <c r="G45" s="5">
        <v>7883.8450000000003</v>
      </c>
      <c r="H45" s="5">
        <v>8411.3970000000008</v>
      </c>
      <c r="I45" s="5">
        <v>6583.098</v>
      </c>
      <c r="J45" s="5">
        <v>12658.273999999999</v>
      </c>
      <c r="K45" s="5">
        <v>12658.273999999999</v>
      </c>
      <c r="L45" s="5">
        <v>12701.603999999999</v>
      </c>
    </row>
    <row r="46" spans="2:12" x14ac:dyDescent="0.3">
      <c r="B46" t="s">
        <v>64</v>
      </c>
      <c r="C46" t="s">
        <v>65</v>
      </c>
      <c r="D46" s="5">
        <v>757.08699999999999</v>
      </c>
      <c r="E46" s="5">
        <v>3483.096</v>
      </c>
      <c r="F46" s="5">
        <v>2624.241</v>
      </c>
      <c r="G46" s="5">
        <v>10909.019</v>
      </c>
      <c r="H46" s="5">
        <v>14889</v>
      </c>
      <c r="I46" s="5">
        <v>12658.273999999999</v>
      </c>
      <c r="J46" s="5">
        <v>6670.0510000000004</v>
      </c>
      <c r="K46" s="5">
        <v>9579.9490000000005</v>
      </c>
      <c r="L46" s="5">
        <v>7838.4160000000002</v>
      </c>
    </row>
    <row r="47" spans="2:12" x14ac:dyDescent="0.3">
      <c r="B47" t="s">
        <v>66</v>
      </c>
      <c r="C47" t="s">
        <v>67</v>
      </c>
      <c r="D47" s="5">
        <v>126.687</v>
      </c>
      <c r="E47" s="5">
        <v>108.971</v>
      </c>
      <c r="F47" s="5">
        <v>286.298</v>
      </c>
      <c r="G47" s="5">
        <v>917.12199999999996</v>
      </c>
      <c r="H47" s="5">
        <v>1047.4059999999999</v>
      </c>
      <c r="I47" s="5">
        <v>1687.704</v>
      </c>
      <c r="J47" s="5">
        <v>1848.597</v>
      </c>
      <c r="K47" s="5">
        <v>2160.0810000000001</v>
      </c>
      <c r="L47" s="5">
        <v>2438.0520000000001</v>
      </c>
    </row>
    <row r="48" spans="2:12" outlineLevel="1" x14ac:dyDescent="0.3">
      <c r="B48" t="s">
        <v>68</v>
      </c>
      <c r="C48" t="s">
        <v>69</v>
      </c>
      <c r="D48" s="5">
        <v>268.86500000000001</v>
      </c>
      <c r="E48" s="5">
        <v>325.80799999999999</v>
      </c>
      <c r="F48" s="5">
        <v>277.54300000000001</v>
      </c>
      <c r="G48" s="5">
        <v>599.71600000000001</v>
      </c>
      <c r="H48" s="5">
        <v>866.55</v>
      </c>
      <c r="I48" s="5">
        <v>1487.761</v>
      </c>
      <c r="J48" s="5">
        <v>2248.154</v>
      </c>
      <c r="K48" s="5">
        <v>825.57299999999998</v>
      </c>
      <c r="L48" s="5">
        <v>933.55600000000004</v>
      </c>
    </row>
    <row r="49" spans="2:12" outlineLevel="1" x14ac:dyDescent="0.3">
      <c r="B49" t="s">
        <v>70</v>
      </c>
      <c r="C49" t="s">
        <v>71</v>
      </c>
      <c r="D49" s="5">
        <v>551.67600000000004</v>
      </c>
      <c r="E49" s="5">
        <v>326.08999999999997</v>
      </c>
      <c r="F49" s="5">
        <v>251.739</v>
      </c>
      <c r="G49" s="5">
        <v>568.67999999999995</v>
      </c>
      <c r="H49" s="5">
        <v>850.49300000000005</v>
      </c>
      <c r="I49" s="5">
        <v>944.13599999999997</v>
      </c>
      <c r="J49" s="5">
        <v>1247.7650000000001</v>
      </c>
      <c r="K49" s="5">
        <v>1221.5550000000001</v>
      </c>
      <c r="L49" s="5">
        <v>2359.3020000000001</v>
      </c>
    </row>
    <row r="50" spans="2:12" outlineLevel="1" x14ac:dyDescent="0.3">
      <c r="B50" t="s">
        <v>72</v>
      </c>
      <c r="C50" t="s">
        <v>73</v>
      </c>
      <c r="D50" s="5">
        <v>318.22500000000002</v>
      </c>
      <c r="E50" s="5">
        <v>221.238</v>
      </c>
      <c r="F50" s="5">
        <v>141.24799999999999</v>
      </c>
      <c r="G50" s="5">
        <v>535.67399999999998</v>
      </c>
      <c r="H50" s="5">
        <v>436.86399999999998</v>
      </c>
      <c r="I50" s="5">
        <v>593.86500000000001</v>
      </c>
      <c r="J50" s="5">
        <v>805.77499999999998</v>
      </c>
      <c r="K50" s="5">
        <v>847.84699999999998</v>
      </c>
      <c r="L50" s="5">
        <v>908.28499999999997</v>
      </c>
    </row>
    <row r="51" spans="2:12" outlineLevel="1" x14ac:dyDescent="0.3">
      <c r="B51" t="s">
        <v>74</v>
      </c>
      <c r="C51" t="s">
        <v>75</v>
      </c>
      <c r="D51" s="5">
        <v>0</v>
      </c>
      <c r="E51" s="6">
        <v>0</v>
      </c>
      <c r="F51" s="6">
        <v>286.21300000000002</v>
      </c>
      <c r="G51" s="6">
        <v>344.55</v>
      </c>
      <c r="H51" s="6">
        <v>1404.123</v>
      </c>
      <c r="I51" s="6">
        <v>536.09</v>
      </c>
      <c r="J51" s="6">
        <v>1238.0160000000001</v>
      </c>
      <c r="K51" s="6">
        <v>1360.11</v>
      </c>
      <c r="L51" s="6">
        <v>706.29700000000003</v>
      </c>
    </row>
    <row r="52" spans="2:12" outlineLevel="1" collapsed="1" x14ac:dyDescent="0.3"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3">
      <c r="B53" s="115" t="s">
        <v>76</v>
      </c>
      <c r="C53" s="115" t="s">
        <v>77</v>
      </c>
      <c r="D53" s="8">
        <f t="shared" ref="D53" si="10">SUM(D54:D62)</f>
        <v>7303.8940000000002</v>
      </c>
      <c r="E53" s="8">
        <f t="shared" ref="E53:J53" si="11">SUM(E54:E62)</f>
        <v>5277.835</v>
      </c>
      <c r="F53" s="8">
        <f t="shared" si="11"/>
        <v>8583.896999999999</v>
      </c>
      <c r="G53" s="8">
        <f t="shared" si="11"/>
        <v>10066.017</v>
      </c>
      <c r="H53" s="8">
        <f t="shared" si="11"/>
        <v>8430.7999999999993</v>
      </c>
      <c r="I53" s="8">
        <f t="shared" si="11"/>
        <v>17260.502</v>
      </c>
      <c r="J53" s="8">
        <f t="shared" si="11"/>
        <v>46615.9</v>
      </c>
      <c r="K53" s="8">
        <f t="shared" ref="K53:L53" si="12">SUM(K54:K62)</f>
        <v>29470.275999999998</v>
      </c>
      <c r="L53" s="8">
        <f t="shared" si="12"/>
        <v>30714.018000000004</v>
      </c>
    </row>
    <row r="54" spans="2:12" x14ac:dyDescent="0.3">
      <c r="B54" t="s">
        <v>78</v>
      </c>
      <c r="C54" s="63" t="s">
        <v>187</v>
      </c>
      <c r="D54" s="5">
        <v>500.62400000000002</v>
      </c>
      <c r="E54" s="5">
        <v>522.36400000000003</v>
      </c>
      <c r="F54" s="5">
        <v>614.06200000000001</v>
      </c>
      <c r="G54" s="5">
        <v>463.16500000000002</v>
      </c>
      <c r="H54" s="5">
        <v>929.69299999999998</v>
      </c>
      <c r="I54" s="5">
        <v>419.77800000000002</v>
      </c>
      <c r="J54" s="5">
        <v>7185.732</v>
      </c>
      <c r="K54" s="5">
        <v>1703.817</v>
      </c>
      <c r="L54" s="5">
        <v>1448.7619999999999</v>
      </c>
    </row>
    <row r="55" spans="2:12" x14ac:dyDescent="0.3">
      <c r="B55" t="s">
        <v>79</v>
      </c>
      <c r="C55" t="s">
        <v>139</v>
      </c>
      <c r="D55" s="5">
        <v>2643.366</v>
      </c>
      <c r="E55" s="5">
        <v>24.731999999999999</v>
      </c>
      <c r="F55" s="5">
        <v>982.68299999999999</v>
      </c>
      <c r="G55" s="5">
        <v>2215.114</v>
      </c>
      <c r="H55" s="5">
        <v>0</v>
      </c>
      <c r="I55" s="5">
        <v>2312.1379999999999</v>
      </c>
      <c r="J55" s="5">
        <v>0</v>
      </c>
      <c r="K55" s="5">
        <v>0</v>
      </c>
      <c r="L55" s="5">
        <v>0</v>
      </c>
    </row>
    <row r="56" spans="2:12" x14ac:dyDescent="0.3">
      <c r="B56" t="s">
        <v>210</v>
      </c>
      <c r="C56" t="s">
        <v>211</v>
      </c>
      <c r="D56" s="5"/>
      <c r="E56" s="5"/>
      <c r="F56" s="5"/>
      <c r="G56" s="5">
        <v>108.55500000000001</v>
      </c>
      <c r="H56" s="5">
        <v>154.91200000000001</v>
      </c>
      <c r="I56" s="5">
        <v>237.744</v>
      </c>
      <c r="J56" s="5">
        <v>391.6</v>
      </c>
      <c r="K56" s="5">
        <v>530.56600000000003</v>
      </c>
      <c r="L56" s="5">
        <v>766.00800000000004</v>
      </c>
    </row>
    <row r="57" spans="2:12" outlineLevel="1" x14ac:dyDescent="0.3">
      <c r="B57" t="s">
        <v>80</v>
      </c>
      <c r="C57" t="s">
        <v>81</v>
      </c>
      <c r="D57" s="5">
        <v>2533.9160000000002</v>
      </c>
      <c r="E57" s="5">
        <v>2092.355</v>
      </c>
      <c r="F57" s="5">
        <v>2419.6129999999998</v>
      </c>
      <c r="G57" s="5">
        <v>1963.934</v>
      </c>
      <c r="H57" s="5">
        <v>2308.413</v>
      </c>
      <c r="I57" s="5">
        <v>4546.4979999999996</v>
      </c>
      <c r="J57" s="5">
        <v>11282.617</v>
      </c>
      <c r="K57" s="5">
        <v>3404.049</v>
      </c>
      <c r="L57" s="5">
        <v>8701.7330000000002</v>
      </c>
    </row>
    <row r="58" spans="2:12" outlineLevel="1" x14ac:dyDescent="0.3">
      <c r="B58" t="s">
        <v>82</v>
      </c>
      <c r="C58" t="s">
        <v>83</v>
      </c>
      <c r="D58" s="5">
        <v>41.305999999999997</v>
      </c>
      <c r="E58" s="5">
        <v>305.70400000000001</v>
      </c>
      <c r="F58" s="5">
        <v>602.53300000000002</v>
      </c>
      <c r="G58" s="5">
        <v>1104.3689999999999</v>
      </c>
      <c r="H58" s="5">
        <v>189.13</v>
      </c>
      <c r="I58" s="5">
        <v>0</v>
      </c>
      <c r="J58" s="5">
        <v>324.16000000000003</v>
      </c>
      <c r="K58" s="5">
        <v>3138.8130000000001</v>
      </c>
      <c r="L58" s="5">
        <v>0</v>
      </c>
    </row>
    <row r="59" spans="2:12" outlineLevel="1" x14ac:dyDescent="0.3">
      <c r="B59" t="s">
        <v>364</v>
      </c>
      <c r="C59" t="s">
        <v>363</v>
      </c>
      <c r="D59" s="5"/>
      <c r="E59" s="5"/>
      <c r="F59" s="5"/>
      <c r="G59" s="5"/>
      <c r="H59" s="5"/>
      <c r="I59" s="5"/>
      <c r="J59" s="5"/>
      <c r="K59" s="5"/>
      <c r="L59" s="5">
        <v>133.971</v>
      </c>
    </row>
    <row r="60" spans="2:12" outlineLevel="1" x14ac:dyDescent="0.3">
      <c r="B60" t="s">
        <v>84</v>
      </c>
      <c r="C60" t="s">
        <v>85</v>
      </c>
      <c r="D60" s="5">
        <v>1468.8589999999999</v>
      </c>
      <c r="E60" s="5">
        <v>1683.2329999999999</v>
      </c>
      <c r="F60" s="5">
        <v>3584.8510000000001</v>
      </c>
      <c r="G60" s="5">
        <v>3654.71</v>
      </c>
      <c r="H60" s="5">
        <v>4522.9219999999996</v>
      </c>
      <c r="I60" s="5">
        <v>9328.1959999999999</v>
      </c>
      <c r="J60" s="5">
        <v>24885.618999999999</v>
      </c>
      <c r="K60" s="5">
        <v>17900.511999999999</v>
      </c>
      <c r="L60" s="5">
        <v>17182.650000000001</v>
      </c>
    </row>
    <row r="61" spans="2:12" outlineLevel="1" x14ac:dyDescent="0.3">
      <c r="B61" t="s">
        <v>86</v>
      </c>
      <c r="C61" t="s">
        <v>87</v>
      </c>
      <c r="D61" s="5">
        <v>9.0730000000000004</v>
      </c>
      <c r="E61" s="5">
        <v>9.8450000000000006</v>
      </c>
      <c r="F61" s="5">
        <v>15.425000000000001</v>
      </c>
      <c r="G61" s="5">
        <v>58.207000000000001</v>
      </c>
      <c r="H61" s="5">
        <v>279.23</v>
      </c>
      <c r="I61" s="5">
        <v>407.15899999999999</v>
      </c>
      <c r="J61" s="5">
        <v>1046.9179999999999</v>
      </c>
      <c r="K61" s="5">
        <v>2763.2379999999998</v>
      </c>
      <c r="L61" s="5">
        <v>335.03500000000003</v>
      </c>
    </row>
    <row r="62" spans="2:12" outlineLevel="1" x14ac:dyDescent="0.3">
      <c r="B62" t="s">
        <v>88</v>
      </c>
      <c r="C62" t="s">
        <v>341</v>
      </c>
      <c r="D62" s="5">
        <v>106.75</v>
      </c>
      <c r="E62" s="5">
        <v>639.60199999999998</v>
      </c>
      <c r="F62" s="5">
        <v>364.73</v>
      </c>
      <c r="G62" s="5">
        <v>497.96300000000002</v>
      </c>
      <c r="H62" s="5">
        <v>46.5</v>
      </c>
      <c r="I62" s="5">
        <v>8.9890000000000008</v>
      </c>
      <c r="J62" s="5">
        <v>1499.2539999999999</v>
      </c>
      <c r="K62" s="5">
        <v>29.280999999999999</v>
      </c>
      <c r="L62" s="5">
        <v>2145.8589999999999</v>
      </c>
    </row>
    <row r="63" spans="2:12" outlineLevel="1" x14ac:dyDescent="0.3">
      <c r="D63" s="5"/>
      <c r="E63" s="5"/>
      <c r="F63" s="5"/>
      <c r="G63" s="5"/>
      <c r="H63" s="5"/>
      <c r="I63" s="5"/>
      <c r="J63" s="5"/>
      <c r="K63" s="5"/>
      <c r="L63" s="5"/>
    </row>
    <row r="64" spans="2:12" ht="15" outlineLevel="1" thickBot="1" x14ac:dyDescent="0.35">
      <c r="D64" s="5"/>
      <c r="E64" s="5"/>
      <c r="F64" s="5"/>
      <c r="G64" s="5"/>
      <c r="H64" s="5"/>
      <c r="I64" s="5"/>
      <c r="J64" s="5"/>
      <c r="K64" s="5"/>
      <c r="L64" s="5"/>
    </row>
    <row r="65" spans="1:12" ht="15" thickBot="1" x14ac:dyDescent="0.35">
      <c r="B65" s="117" t="s">
        <v>90</v>
      </c>
      <c r="C65" s="117" t="s">
        <v>91</v>
      </c>
      <c r="D65" s="9">
        <f t="shared" ref="D65:J65" si="13">+D53+D44+D31</f>
        <v>16147.832999999999</v>
      </c>
      <c r="E65" s="9">
        <f t="shared" si="13"/>
        <v>16652.12</v>
      </c>
      <c r="F65" s="9">
        <f t="shared" si="13"/>
        <v>22859.096999999998</v>
      </c>
      <c r="G65" s="9">
        <f t="shared" si="13"/>
        <v>37574.506999999998</v>
      </c>
      <c r="H65" s="9">
        <f t="shared" si="13"/>
        <v>44884.29</v>
      </c>
      <c r="I65" s="9">
        <f t="shared" si="13"/>
        <v>60760.748</v>
      </c>
      <c r="J65" s="9">
        <f t="shared" si="13"/>
        <v>100029.76199999999</v>
      </c>
      <c r="K65" s="9">
        <f t="shared" ref="K65:L65" si="14">+K53+K44+K31</f>
        <v>91977.778999999995</v>
      </c>
      <c r="L65" s="9">
        <f t="shared" si="14"/>
        <v>98063.527999999991</v>
      </c>
    </row>
    <row r="66" spans="1:12" x14ac:dyDescent="0.3">
      <c r="B66" s="4"/>
      <c r="C66" s="4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3">
      <c r="A67" s="1" t="s">
        <v>152</v>
      </c>
      <c r="B67" s="4"/>
      <c r="C67" s="4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3">
      <c r="B68" s="2" t="s">
        <v>185</v>
      </c>
      <c r="C68" s="2" t="s">
        <v>160</v>
      </c>
      <c r="D68" s="2">
        <v>2016</v>
      </c>
      <c r="E68" s="2">
        <v>2017</v>
      </c>
      <c r="F68" s="2">
        <v>2018</v>
      </c>
      <c r="G68" s="2">
        <v>2019</v>
      </c>
      <c r="H68" s="2">
        <v>2020</v>
      </c>
      <c r="I68" s="2">
        <v>2021</v>
      </c>
      <c r="J68" s="2">
        <v>2022</v>
      </c>
      <c r="K68" s="2">
        <v>2023</v>
      </c>
      <c r="L68" s="2">
        <v>2024</v>
      </c>
    </row>
    <row r="69" spans="1:12" x14ac:dyDescent="0.3">
      <c r="B69" s="2" t="s">
        <v>125</v>
      </c>
      <c r="C69" s="2" t="s">
        <v>126</v>
      </c>
      <c r="D69" s="2" t="s">
        <v>2</v>
      </c>
      <c r="E69" s="2" t="s">
        <v>2</v>
      </c>
      <c r="F69" s="2" t="s">
        <v>2</v>
      </c>
      <c r="G69" s="2" t="s">
        <v>2</v>
      </c>
      <c r="H69" s="2" t="s">
        <v>2</v>
      </c>
      <c r="I69" s="2" t="s">
        <v>2</v>
      </c>
      <c r="J69" s="2" t="s">
        <v>2</v>
      </c>
      <c r="K69" s="2" t="s">
        <v>2</v>
      </c>
      <c r="L69" s="2" t="s">
        <v>2</v>
      </c>
    </row>
    <row r="70" spans="1:12" x14ac:dyDescent="0.3">
      <c r="B70" s="12" t="s">
        <v>94</v>
      </c>
      <c r="C70" s="12" t="s">
        <v>103</v>
      </c>
      <c r="D70" s="13">
        <v>13948.218707</v>
      </c>
      <c r="E70" s="13">
        <v>18389.28427</v>
      </c>
      <c r="F70" s="13">
        <v>18685.767</v>
      </c>
      <c r="G70" s="13">
        <v>25573.350251</v>
      </c>
      <c r="H70" s="13">
        <v>32981.300999999999</v>
      </c>
      <c r="I70" s="13">
        <v>44249.447999999997</v>
      </c>
      <c r="J70" s="13">
        <v>103027</v>
      </c>
      <c r="K70" s="13">
        <v>98954.327000000005</v>
      </c>
      <c r="L70" s="13">
        <v>105388.83900000001</v>
      </c>
    </row>
    <row r="71" spans="1:12" x14ac:dyDescent="0.3">
      <c r="B71" s="14" t="s">
        <v>129</v>
      </c>
      <c r="C71" s="14" t="s">
        <v>104</v>
      </c>
      <c r="D71" s="15">
        <v>-9249.8197920000002</v>
      </c>
      <c r="E71" s="15">
        <v>-14606.384983</v>
      </c>
      <c r="F71" s="15">
        <v>-14264.353999999999</v>
      </c>
      <c r="G71" s="15">
        <v>-18211.867753999999</v>
      </c>
      <c r="H71" s="15">
        <v>-23072.429</v>
      </c>
      <c r="I71" s="15">
        <v>-25624.444</v>
      </c>
      <c r="J71" s="15">
        <v>-70448.828999999998</v>
      </c>
      <c r="K71" s="15">
        <v>-63869.082000000002</v>
      </c>
      <c r="L71" s="15">
        <v>-69670.551000000007</v>
      </c>
    </row>
    <row r="72" spans="1:12" x14ac:dyDescent="0.3">
      <c r="B72" s="16" t="s">
        <v>105</v>
      </c>
      <c r="C72" s="16" t="s">
        <v>106</v>
      </c>
      <c r="D72" s="17">
        <v>-2315.8180090000001</v>
      </c>
      <c r="E72" s="17">
        <v>-2153.922556</v>
      </c>
      <c r="F72" s="17">
        <v>-2506.5340000000001</v>
      </c>
      <c r="G72" s="17">
        <v>-2858.1641120000004</v>
      </c>
      <c r="H72" s="17">
        <v>-3770.04</v>
      </c>
      <c r="I72" s="17">
        <v>-4192.2370000000001</v>
      </c>
      <c r="J72" s="17">
        <v>-5951.6490000000003</v>
      </c>
      <c r="K72" s="17">
        <v>-7876.31</v>
      </c>
      <c r="L72" s="17">
        <v>-10821.703</v>
      </c>
    </row>
    <row r="73" spans="1:12" x14ac:dyDescent="0.3">
      <c r="B73" s="16" t="s">
        <v>107</v>
      </c>
      <c r="C73" s="16" t="s">
        <v>108</v>
      </c>
      <c r="D73" s="17">
        <v>-601.331996</v>
      </c>
      <c r="E73" s="17">
        <v>-571.66508499999998</v>
      </c>
      <c r="F73" s="17">
        <v>-729.81799999999998</v>
      </c>
      <c r="G73" s="17">
        <v>-2045.7517579999999</v>
      </c>
      <c r="H73" s="17">
        <v>-2858.5230000000001</v>
      </c>
      <c r="I73" s="17">
        <v>-3936.6689999999999</v>
      </c>
      <c r="J73" s="17">
        <v>-3527.1619999999998</v>
      </c>
      <c r="K73" s="17">
        <v>-4268.473</v>
      </c>
      <c r="L73" s="17">
        <v>-5542.1890000000003</v>
      </c>
    </row>
    <row r="74" spans="1:12" x14ac:dyDescent="0.3">
      <c r="B74" s="16" t="s">
        <v>95</v>
      </c>
      <c r="C74" s="16" t="s">
        <v>109</v>
      </c>
      <c r="D74" s="17">
        <v>-68.911270999999999</v>
      </c>
      <c r="E74" s="17">
        <v>305.97678999999999</v>
      </c>
      <c r="F74" s="17">
        <v>-146.83500000000001</v>
      </c>
      <c r="G74" s="17">
        <v>-804.28131999999994</v>
      </c>
      <c r="H74" s="17">
        <v>-1228.018</v>
      </c>
      <c r="I74" s="17">
        <v>-1795.605</v>
      </c>
      <c r="J74" s="17">
        <v>-6764.8620000000001</v>
      </c>
      <c r="K74" s="17">
        <v>-8315.9290000000001</v>
      </c>
      <c r="L74" s="17">
        <v>-6562.1589999999997</v>
      </c>
    </row>
    <row r="75" spans="1:12" x14ac:dyDescent="0.3">
      <c r="B75" s="16" t="s">
        <v>110</v>
      </c>
      <c r="C75" s="16" t="s">
        <v>111</v>
      </c>
      <c r="D75" s="17">
        <v>-228.953</v>
      </c>
      <c r="E75" s="17">
        <v>-1.35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</row>
    <row r="76" spans="1:12" x14ac:dyDescent="0.3">
      <c r="B76" s="16" t="s">
        <v>278</v>
      </c>
      <c r="C76" s="16" t="s">
        <v>269</v>
      </c>
      <c r="D76" s="17"/>
      <c r="E76" s="17"/>
      <c r="F76" s="17"/>
      <c r="G76" s="17"/>
      <c r="H76" s="17">
        <v>512.226</v>
      </c>
      <c r="I76" s="17">
        <v>242.82599999999999</v>
      </c>
      <c r="J76" s="17">
        <v>358.91500000000002</v>
      </c>
      <c r="K76" s="17">
        <v>538.56600000000003</v>
      </c>
      <c r="L76" s="17">
        <v>713.75800000000004</v>
      </c>
    </row>
    <row r="77" spans="1:12" x14ac:dyDescent="0.3">
      <c r="B77" s="18" t="s">
        <v>112</v>
      </c>
      <c r="C77" s="18" t="s">
        <v>113</v>
      </c>
      <c r="D77" s="19">
        <f>SUM(D70:D75)</f>
        <v>1483.3846389999999</v>
      </c>
      <c r="E77" s="19">
        <f>SUM(E70:E75)</f>
        <v>1361.9384360000001</v>
      </c>
      <c r="F77" s="19">
        <f>SUM(F70:F75)</f>
        <v>1038.2260000000003</v>
      </c>
      <c r="G77" s="19">
        <f>SUM(G70:G75)</f>
        <v>1653.2853070000006</v>
      </c>
      <c r="H77" s="19">
        <f>SUM(H70:H76)</f>
        <v>2564.5169999999994</v>
      </c>
      <c r="I77" s="19">
        <f>SUM(I70:I76)</f>
        <v>8943.3189999999959</v>
      </c>
      <c r="J77" s="19">
        <f>SUM(J70:J76)</f>
        <v>16693.413</v>
      </c>
      <c r="K77" s="19">
        <f>SUM(K70:K76)</f>
        <v>15163.099</v>
      </c>
      <c r="L77" s="19">
        <f>SUM(L70:L76)</f>
        <v>13505.995000000001</v>
      </c>
    </row>
    <row r="78" spans="1:12" x14ac:dyDescent="0.3">
      <c r="B78" s="16" t="s">
        <v>114</v>
      </c>
      <c r="C78" s="16" t="s">
        <v>115</v>
      </c>
      <c r="D78" s="17">
        <v>-455.72423900000001</v>
      </c>
      <c r="E78" s="17">
        <v>-329.10903100000002</v>
      </c>
      <c r="F78" s="17">
        <v>-232.333</v>
      </c>
      <c r="G78" s="17">
        <v>-943.82029</v>
      </c>
      <c r="H78" s="17">
        <v>-1090.316</v>
      </c>
      <c r="I78" s="17">
        <v>-1871.0509999999999</v>
      </c>
      <c r="J78" s="17">
        <v>-936.73099999999999</v>
      </c>
      <c r="K78" s="17">
        <v>719.53</v>
      </c>
      <c r="L78" s="17">
        <v>-534.428</v>
      </c>
    </row>
    <row r="79" spans="1:12" x14ac:dyDescent="0.3">
      <c r="B79" s="20" t="s">
        <v>96</v>
      </c>
      <c r="C79" s="20" t="s">
        <v>116</v>
      </c>
      <c r="D79" s="19">
        <f t="shared" ref="D79:J79" si="15">+D77+D78</f>
        <v>1027.6603999999998</v>
      </c>
      <c r="E79" s="19">
        <f t="shared" si="15"/>
        <v>1032.8294050000002</v>
      </c>
      <c r="F79" s="19">
        <f t="shared" si="15"/>
        <v>805.89300000000037</v>
      </c>
      <c r="G79" s="19">
        <f t="shared" si="15"/>
        <v>709.46501700000056</v>
      </c>
      <c r="H79" s="19">
        <f t="shared" si="15"/>
        <v>1474.2009999999993</v>
      </c>
      <c r="I79" s="19">
        <f t="shared" si="15"/>
        <v>7072.2679999999964</v>
      </c>
      <c r="J79" s="19">
        <f t="shared" si="15"/>
        <v>15756.682000000001</v>
      </c>
      <c r="K79" s="19">
        <f t="shared" ref="K79:L79" si="16">+K77+K78</f>
        <v>15882.629000000001</v>
      </c>
      <c r="L79" s="19">
        <f t="shared" si="16"/>
        <v>12971.567000000001</v>
      </c>
    </row>
    <row r="80" spans="1:12" x14ac:dyDescent="0.3">
      <c r="B80" s="16" t="s">
        <v>97</v>
      </c>
      <c r="C80" s="16" t="s">
        <v>117</v>
      </c>
      <c r="D80" s="17">
        <v>-204.73514900000001</v>
      </c>
      <c r="E80" s="17">
        <v>-117.87471600000001</v>
      </c>
      <c r="F80" s="17">
        <v>-275.81400000000002</v>
      </c>
      <c r="G80" s="17">
        <v>-435.83447100000001</v>
      </c>
      <c r="H80" s="17">
        <v>-883.66</v>
      </c>
      <c r="I80" s="17">
        <v>-1214.818</v>
      </c>
      <c r="J80" s="17">
        <v>-2913.444</v>
      </c>
      <c r="K80" s="17">
        <v>-3120.5149999999999</v>
      </c>
      <c r="L80" s="17">
        <v>-3347.5120000000002</v>
      </c>
    </row>
    <row r="81" spans="2:12" x14ac:dyDescent="0.3">
      <c r="B81" s="51" t="s">
        <v>158</v>
      </c>
      <c r="C81" s="27" t="s">
        <v>159</v>
      </c>
      <c r="D81" s="17"/>
      <c r="E81" s="17">
        <v>-136</v>
      </c>
      <c r="F81" s="17">
        <v>-212</v>
      </c>
      <c r="G81" s="17">
        <f>-301.451-46.233</f>
        <v>-347.68400000000003</v>
      </c>
      <c r="H81" s="17">
        <v>-417.96600000000001</v>
      </c>
      <c r="I81" s="17">
        <v>-417.96600000000001</v>
      </c>
      <c r="J81" s="17">
        <f>(-1052567-156413)/1000</f>
        <v>-1208.98</v>
      </c>
      <c r="K81" s="17"/>
      <c r="L81" s="17"/>
    </row>
    <row r="82" spans="2:12" x14ac:dyDescent="0.3">
      <c r="B82" s="20" t="s">
        <v>98</v>
      </c>
      <c r="C82" s="20" t="s">
        <v>118</v>
      </c>
      <c r="D82" s="19">
        <f t="shared" ref="D82:J82" si="17">+D79+D80</f>
        <v>822.92525099999978</v>
      </c>
      <c r="E82" s="19">
        <f t="shared" si="17"/>
        <v>914.95468900000014</v>
      </c>
      <c r="F82" s="19">
        <f t="shared" si="17"/>
        <v>530.07900000000041</v>
      </c>
      <c r="G82" s="19">
        <f t="shared" si="17"/>
        <v>273.63054600000055</v>
      </c>
      <c r="H82" s="19">
        <f t="shared" si="17"/>
        <v>590.54099999999937</v>
      </c>
      <c r="I82" s="19">
        <f t="shared" si="17"/>
        <v>5857.4499999999962</v>
      </c>
      <c r="J82" s="19">
        <f t="shared" si="17"/>
        <v>12843.238000000001</v>
      </c>
      <c r="K82" s="19">
        <f t="shared" ref="K82:L82" si="18">+K79+K80</f>
        <v>12762.114000000001</v>
      </c>
      <c r="L82" s="19">
        <f t="shared" si="18"/>
        <v>9624.0550000000003</v>
      </c>
    </row>
    <row r="83" spans="2:12" x14ac:dyDescent="0.3">
      <c r="B83" s="21" t="s">
        <v>99</v>
      </c>
      <c r="C83" s="16" t="s">
        <v>119</v>
      </c>
      <c r="D83" s="17">
        <v>728.10356541538465</v>
      </c>
      <c r="E83" s="17">
        <v>912.52596700000004</v>
      </c>
      <c r="F83" s="17">
        <v>511.21800000000002</v>
      </c>
      <c r="G83" s="17">
        <v>270.71654599999812</v>
      </c>
      <c r="H83" s="17">
        <v>586.66300000000001</v>
      </c>
      <c r="I83" s="17">
        <v>5855.1840000000002</v>
      </c>
      <c r="J83" s="17">
        <v>12887.893</v>
      </c>
      <c r="K83" s="17">
        <v>12803.477999999999</v>
      </c>
      <c r="L83" s="17">
        <v>9624</v>
      </c>
    </row>
    <row r="84" spans="2:12" x14ac:dyDescent="0.3">
      <c r="B84" s="22" t="s">
        <v>120</v>
      </c>
      <c r="C84" s="22" t="s">
        <v>121</v>
      </c>
      <c r="D84" s="23">
        <v>94.821685584615366</v>
      </c>
      <c r="E84" s="23">
        <v>2.428722</v>
      </c>
      <c r="F84" s="23">
        <v>18.861000000000001</v>
      </c>
      <c r="G84" s="23">
        <v>2.9140000000000001</v>
      </c>
      <c r="H84" s="23">
        <v>3.8780000000000001</v>
      </c>
      <c r="I84" s="23">
        <v>2.266</v>
      </c>
      <c r="J84" s="23">
        <v>-44.601999999999997</v>
      </c>
      <c r="K84" s="23">
        <v>-41.363999999999997</v>
      </c>
      <c r="L84" s="23">
        <v>0</v>
      </c>
    </row>
    <row r="85" spans="2:12" ht="15" thickBot="1" x14ac:dyDescent="0.35">
      <c r="B85" s="16" t="s">
        <v>122</v>
      </c>
      <c r="C85" s="16" t="s">
        <v>123</v>
      </c>
      <c r="D85" s="17">
        <v>547.51092714919992</v>
      </c>
      <c r="E85" s="17">
        <v>-479.54411900000002</v>
      </c>
      <c r="F85" s="17">
        <v>-259.63200000000001</v>
      </c>
      <c r="G85" s="17">
        <v>-1415.65</v>
      </c>
      <c r="H85" s="17">
        <v>2114.2919999999999</v>
      </c>
      <c r="I85" s="17">
        <v>4906.63</v>
      </c>
      <c r="J85" s="17">
        <v>-3237.1860000000001</v>
      </c>
      <c r="K85" s="17">
        <v>-4458.2690000000002</v>
      </c>
      <c r="L85" s="17">
        <v>3865</v>
      </c>
    </row>
    <row r="86" spans="2:12" ht="15.6" thickTop="1" thickBot="1" x14ac:dyDescent="0.35">
      <c r="B86" s="24" t="s">
        <v>100</v>
      </c>
      <c r="C86" s="24" t="s">
        <v>124</v>
      </c>
      <c r="D86" s="25">
        <f>+D82+D85</f>
        <v>1370.4361781491998</v>
      </c>
      <c r="E86" s="25">
        <f>+E82+E85</f>
        <v>435.41057000000012</v>
      </c>
      <c r="F86" s="25">
        <f t="shared" ref="F86:K86" si="19">+F85+F82</f>
        <v>270.4470000000004</v>
      </c>
      <c r="G86" s="25">
        <f t="shared" si="19"/>
        <v>-1142.0194539999995</v>
      </c>
      <c r="H86" s="25">
        <f t="shared" si="19"/>
        <v>2704.8329999999992</v>
      </c>
      <c r="I86" s="25">
        <f t="shared" si="19"/>
        <v>10764.079999999996</v>
      </c>
      <c r="J86" s="289">
        <f t="shared" si="19"/>
        <v>9606.0520000000015</v>
      </c>
      <c r="K86" s="289">
        <f t="shared" si="19"/>
        <v>8303.8450000000012</v>
      </c>
      <c r="L86" s="289">
        <f t="shared" ref="L86" si="20">+L85+L82</f>
        <v>13489.055</v>
      </c>
    </row>
    <row r="87" spans="2:12" ht="15" thickTop="1" x14ac:dyDescent="0.3">
      <c r="B87" s="16" t="s">
        <v>99</v>
      </c>
      <c r="C87" s="16" t="s">
        <v>119</v>
      </c>
      <c r="D87" s="17">
        <v>1275.6144925645845</v>
      </c>
      <c r="E87" s="17">
        <v>432.98184800000001</v>
      </c>
      <c r="F87" s="17">
        <v>251.58600000000001</v>
      </c>
      <c r="G87" s="17"/>
      <c r="H87" s="17"/>
      <c r="I87" s="17"/>
      <c r="J87" s="17">
        <v>9651</v>
      </c>
      <c r="K87" s="17">
        <v>8345</v>
      </c>
      <c r="L87" s="17">
        <v>8345</v>
      </c>
    </row>
    <row r="88" spans="2:12" ht="15" thickBot="1" x14ac:dyDescent="0.35">
      <c r="B88" s="16" t="s">
        <v>120</v>
      </c>
      <c r="C88" s="22" t="s">
        <v>121</v>
      </c>
      <c r="D88" s="17">
        <v>94.821685584615366</v>
      </c>
      <c r="E88" s="17">
        <v>2.428722</v>
      </c>
      <c r="F88" s="17">
        <v>18.861000000000001</v>
      </c>
      <c r="G88" s="17"/>
      <c r="H88" s="17"/>
      <c r="I88" s="17"/>
      <c r="J88" s="17">
        <v>-45</v>
      </c>
      <c r="K88" s="17">
        <v>-41</v>
      </c>
      <c r="L88" s="17">
        <v>-41</v>
      </c>
    </row>
    <row r="89" spans="2:12" ht="15.6" thickTop="1" thickBot="1" x14ac:dyDescent="0.35">
      <c r="B89" s="24" t="s">
        <v>101</v>
      </c>
      <c r="C89" s="24" t="s">
        <v>101</v>
      </c>
      <c r="D89" s="25">
        <f>+D77-D75-D73</f>
        <v>2313.6696349999997</v>
      </c>
      <c r="E89" s="25">
        <f>+E77-E75-E73</f>
        <v>1934.9535209999999</v>
      </c>
      <c r="F89" s="25">
        <v>1800.567</v>
      </c>
      <c r="G89" s="25">
        <v>3779.18</v>
      </c>
      <c r="H89" s="25">
        <v>5512</v>
      </c>
      <c r="I89" s="25">
        <v>12879.987999999999</v>
      </c>
      <c r="J89" s="25">
        <v>20220.628000000001</v>
      </c>
      <c r="K89" s="25">
        <v>19432</v>
      </c>
      <c r="L89" s="25">
        <v>19048</v>
      </c>
    </row>
    <row r="90" spans="2:12" ht="15" thickTop="1" x14ac:dyDescent="0.3">
      <c r="B90" s="26"/>
      <c r="C90" s="26"/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872D9-B725-4D9F-8AF9-1C9F6C2EED5F}">
  <sheetPr codeName="Munka7"/>
  <dimension ref="B2:AD100"/>
  <sheetViews>
    <sheetView tabSelected="1" topLeftCell="A13" workbookViewId="0">
      <selection activeCell="L26" sqref="L26"/>
    </sheetView>
  </sheetViews>
  <sheetFormatPr defaultColWidth="8.77734375" defaultRowHeight="14.4" outlineLevelRow="1" outlineLevelCol="1" x14ac:dyDescent="0.3"/>
  <cols>
    <col min="1" max="1" width="4.6640625" customWidth="1"/>
    <col min="2" max="2" width="44.44140625" customWidth="1"/>
    <col min="3" max="3" width="37" hidden="1" customWidth="1" outlineLevel="1"/>
    <col min="4" max="4" width="9.109375" collapsed="1"/>
    <col min="9" max="12" width="10.33203125" customWidth="1"/>
    <col min="13" max="15" width="10.33203125" style="327" customWidth="1"/>
    <col min="16" max="16" width="7.44140625" customWidth="1"/>
    <col min="17" max="17" width="41.77734375" hidden="1" customWidth="1" outlineLevel="1"/>
    <col min="18" max="18" width="50.33203125" customWidth="1" collapsed="1"/>
    <col min="23" max="25" width="12.109375" bestFit="1" customWidth="1"/>
    <col min="26" max="26" width="13.33203125" bestFit="1" customWidth="1"/>
    <col min="27" max="27" width="12.44140625" customWidth="1"/>
  </cols>
  <sheetData>
    <row r="2" spans="2:30" ht="15" thickBot="1" x14ac:dyDescent="0.35"/>
    <row r="3" spans="2:30" ht="15" thickBot="1" x14ac:dyDescent="0.35">
      <c r="B3" s="161" t="s">
        <v>212</v>
      </c>
      <c r="C3" s="161" t="s">
        <v>213</v>
      </c>
      <c r="D3" s="162">
        <v>2013</v>
      </c>
      <c r="E3" s="162">
        <f>+D3+1</f>
        <v>2014</v>
      </c>
      <c r="F3" s="162">
        <f t="shared" ref="F3:O3" si="0">+E3+1</f>
        <v>2015</v>
      </c>
      <c r="G3" s="162">
        <f t="shared" si="0"/>
        <v>2016</v>
      </c>
      <c r="H3" s="162">
        <f t="shared" si="0"/>
        <v>2017</v>
      </c>
      <c r="I3" s="162">
        <f t="shared" si="0"/>
        <v>2018</v>
      </c>
      <c r="J3" s="162">
        <f t="shared" si="0"/>
        <v>2019</v>
      </c>
      <c r="K3" s="263">
        <f t="shared" si="0"/>
        <v>2020</v>
      </c>
      <c r="L3" s="263">
        <f t="shared" si="0"/>
        <v>2021</v>
      </c>
      <c r="M3" s="343">
        <f t="shared" si="0"/>
        <v>2022</v>
      </c>
      <c r="N3" s="343">
        <f t="shared" si="0"/>
        <v>2023</v>
      </c>
      <c r="O3" s="344">
        <f t="shared" si="0"/>
        <v>2024</v>
      </c>
      <c r="Q3" s="163" t="s">
        <v>214</v>
      </c>
      <c r="R3" s="164" t="s">
        <v>215</v>
      </c>
      <c r="S3" s="269">
        <v>2013</v>
      </c>
      <c r="T3" s="30">
        <f>+S3+1</f>
        <v>2014</v>
      </c>
      <c r="U3" s="30">
        <f t="shared" ref="U3:Y3" si="1">+T3+1</f>
        <v>2015</v>
      </c>
      <c r="V3" s="30">
        <f t="shared" si="1"/>
        <v>2016</v>
      </c>
      <c r="W3" s="30">
        <f t="shared" si="1"/>
        <v>2017</v>
      </c>
      <c r="X3" s="30">
        <f t="shared" si="1"/>
        <v>2018</v>
      </c>
      <c r="Y3" s="30">
        <f t="shared" si="1"/>
        <v>2019</v>
      </c>
      <c r="Z3" s="268">
        <f>+Y3+1</f>
        <v>2020</v>
      </c>
      <c r="AA3" s="268">
        <f>+Z3+1</f>
        <v>2021</v>
      </c>
      <c r="AB3" s="268">
        <f>+AA3+1</f>
        <v>2022</v>
      </c>
      <c r="AC3" s="268">
        <v>2023</v>
      </c>
      <c r="AD3" s="354">
        <v>2024</v>
      </c>
    </row>
    <row r="4" spans="2:30" x14ac:dyDescent="0.3">
      <c r="B4" s="165" t="s">
        <v>216</v>
      </c>
      <c r="C4" s="165" t="s">
        <v>216</v>
      </c>
      <c r="D4" s="166">
        <v>399191</v>
      </c>
      <c r="E4" s="167">
        <v>303406</v>
      </c>
      <c r="F4" s="167">
        <v>148227</v>
      </c>
      <c r="G4" s="167">
        <v>43775.493999999999</v>
      </c>
      <c r="H4" s="167">
        <v>48214</v>
      </c>
      <c r="I4" s="167">
        <v>39673.569049999998</v>
      </c>
      <c r="J4" s="167">
        <v>39398</v>
      </c>
      <c r="K4" s="167">
        <v>51944.600000000006</v>
      </c>
      <c r="L4" s="167">
        <v>83807.076000000001</v>
      </c>
      <c r="M4" s="167">
        <v>44791.199999999997</v>
      </c>
      <c r="N4" s="167">
        <v>42604</v>
      </c>
      <c r="O4" s="345">
        <v>45078.400000000001</v>
      </c>
      <c r="Q4" s="168" t="s">
        <v>217</v>
      </c>
      <c r="R4" s="168" t="s">
        <v>218</v>
      </c>
      <c r="S4" s="270">
        <v>85180.214999999997</v>
      </c>
      <c r="T4" s="170">
        <v>117530.183</v>
      </c>
      <c r="U4" s="170">
        <v>157858.92000000001</v>
      </c>
      <c r="V4" s="170">
        <v>173132.1</v>
      </c>
      <c r="W4" s="170">
        <v>316330</v>
      </c>
      <c r="X4" s="170">
        <v>367315</v>
      </c>
      <c r="Y4" s="170">
        <v>405701</v>
      </c>
      <c r="Z4" s="170">
        <v>485122</v>
      </c>
      <c r="AA4" s="170">
        <v>503881</v>
      </c>
      <c r="AB4" s="170">
        <v>317415</v>
      </c>
      <c r="AC4" s="170">
        <v>189256</v>
      </c>
      <c r="AD4" s="171">
        <v>500197</v>
      </c>
    </row>
    <row r="5" spans="2:30" x14ac:dyDescent="0.3">
      <c r="B5" s="168" t="s">
        <v>219</v>
      </c>
      <c r="C5" s="168" t="s">
        <v>219</v>
      </c>
      <c r="D5" s="169">
        <v>266266.05068197998</v>
      </c>
      <c r="E5" s="170">
        <v>217015.65134144499</v>
      </c>
      <c r="F5" s="170">
        <v>201360.24492105551</v>
      </c>
      <c r="G5" s="170">
        <v>232809.0114059168</v>
      </c>
      <c r="H5" s="170">
        <v>331962</v>
      </c>
      <c r="I5" s="170">
        <v>305538.51158999995</v>
      </c>
      <c r="J5" s="170">
        <v>295708</v>
      </c>
      <c r="K5" s="170">
        <v>365699</v>
      </c>
      <c r="L5" s="170">
        <v>464514.82290000003</v>
      </c>
      <c r="M5" s="170">
        <v>435747</v>
      </c>
      <c r="N5" s="170">
        <v>338748.5</v>
      </c>
      <c r="O5" s="346">
        <v>276342</v>
      </c>
      <c r="Q5" s="168" t="s">
        <v>220</v>
      </c>
      <c r="R5" s="168" t="s">
        <v>221</v>
      </c>
      <c r="S5" s="270"/>
      <c r="T5" s="170"/>
      <c r="U5" s="170"/>
      <c r="V5" s="170">
        <f>106113.88/3.6</f>
        <v>29476.077777777777</v>
      </c>
      <c r="W5" s="170">
        <v>100254</v>
      </c>
      <c r="X5" s="170">
        <v>138813</v>
      </c>
      <c r="Y5" s="170">
        <v>202550</v>
      </c>
      <c r="Z5" s="170">
        <v>248806</v>
      </c>
      <c r="AA5" s="170">
        <v>289107</v>
      </c>
      <c r="AB5" s="170">
        <v>219318</v>
      </c>
      <c r="AC5" s="170">
        <v>143028</v>
      </c>
      <c r="AD5" s="171">
        <v>195914</v>
      </c>
    </row>
    <row r="6" spans="2:30" ht="15" thickBot="1" x14ac:dyDescent="0.35">
      <c r="B6" s="168" t="s">
        <v>222</v>
      </c>
      <c r="C6" s="168" t="s">
        <v>222</v>
      </c>
      <c r="D6" s="169"/>
      <c r="E6" s="170"/>
      <c r="F6" s="170">
        <v>457309.22269000002</v>
      </c>
      <c r="G6" s="170">
        <v>463806.95</v>
      </c>
      <c r="H6" s="170">
        <v>541581.95595043001</v>
      </c>
      <c r="I6" s="170">
        <v>487025.41769031755</v>
      </c>
      <c r="J6" s="170">
        <v>478057.28912492347</v>
      </c>
      <c r="K6" s="170">
        <v>512785</v>
      </c>
      <c r="L6" s="170">
        <v>557790.16776193294</v>
      </c>
      <c r="M6" s="170">
        <v>417937</v>
      </c>
      <c r="N6" s="170">
        <v>414176</v>
      </c>
      <c r="O6" s="346">
        <v>487980</v>
      </c>
      <c r="Q6" s="172" t="s">
        <v>223</v>
      </c>
      <c r="R6" s="172" t="s">
        <v>224</v>
      </c>
      <c r="S6" s="271">
        <f>SUM(S4:S5)</f>
        <v>85180.214999999997</v>
      </c>
      <c r="T6" s="173">
        <f t="shared" ref="T6:X6" si="2">SUM(T4:T5)</f>
        <v>117530.183</v>
      </c>
      <c r="U6" s="173">
        <f t="shared" si="2"/>
        <v>157858.92000000001</v>
      </c>
      <c r="V6" s="173">
        <f t="shared" si="2"/>
        <v>202608.17777777778</v>
      </c>
      <c r="W6" s="173">
        <f t="shared" si="2"/>
        <v>416584</v>
      </c>
      <c r="X6" s="173">
        <f t="shared" si="2"/>
        <v>506128</v>
      </c>
      <c r="Y6" s="173">
        <f t="shared" ref="Y6:Z6" si="3">SUM(Y4:Y5)</f>
        <v>608251</v>
      </c>
      <c r="Z6" s="173">
        <f t="shared" si="3"/>
        <v>733928</v>
      </c>
      <c r="AA6" s="173">
        <f t="shared" ref="AA6:AD6" si="4">SUM(AA4:AA5)</f>
        <v>792988</v>
      </c>
      <c r="AB6" s="173">
        <f t="shared" si="4"/>
        <v>536733</v>
      </c>
      <c r="AC6" s="173">
        <f t="shared" si="4"/>
        <v>332284</v>
      </c>
      <c r="AD6" s="355">
        <f t="shared" si="4"/>
        <v>696111</v>
      </c>
    </row>
    <row r="7" spans="2:30" x14ac:dyDescent="0.3">
      <c r="B7" s="168" t="s">
        <v>225</v>
      </c>
      <c r="C7" s="168" t="s">
        <v>225</v>
      </c>
      <c r="D7" s="169"/>
      <c r="E7" s="170"/>
      <c r="F7" s="170">
        <v>237648.30602127299</v>
      </c>
      <c r="G7" s="170">
        <v>249692.21717421999</v>
      </c>
      <c r="H7" s="170">
        <v>203582.07484354469</v>
      </c>
      <c r="I7" s="170">
        <v>200175.0593283661</v>
      </c>
      <c r="J7" s="170">
        <v>220807</v>
      </c>
      <c r="K7" s="170">
        <v>235597</v>
      </c>
      <c r="L7" s="170">
        <v>235351.51262026397</v>
      </c>
      <c r="M7" s="170">
        <v>182520</v>
      </c>
      <c r="N7" s="170">
        <v>259825</v>
      </c>
      <c r="O7" s="346">
        <v>244802</v>
      </c>
    </row>
    <row r="8" spans="2:30" x14ac:dyDescent="0.3">
      <c r="B8" s="168" t="s">
        <v>226</v>
      </c>
      <c r="C8" s="168" t="s">
        <v>226</v>
      </c>
      <c r="D8" s="169"/>
      <c r="E8" s="170"/>
      <c r="F8" s="170">
        <v>304577.35402476275</v>
      </c>
      <c r="G8" s="170">
        <v>300125.81178366736</v>
      </c>
      <c r="H8" s="170">
        <v>348465.54973823036</v>
      </c>
      <c r="I8" s="170">
        <v>315289.15484692995</v>
      </c>
      <c r="J8" s="170">
        <v>304573</v>
      </c>
      <c r="K8" s="170">
        <v>331598</v>
      </c>
      <c r="L8" s="170">
        <v>372619.18272712402</v>
      </c>
      <c r="M8" s="170">
        <v>323940</v>
      </c>
      <c r="N8" s="170">
        <v>252187</v>
      </c>
      <c r="O8" s="346">
        <v>275448</v>
      </c>
    </row>
    <row r="9" spans="2:30" ht="15" thickBot="1" x14ac:dyDescent="0.35">
      <c r="B9" s="168" t="s">
        <v>227</v>
      </c>
      <c r="C9" s="168" t="s">
        <v>227</v>
      </c>
      <c r="D9" s="169"/>
      <c r="E9" s="170"/>
      <c r="F9" s="170">
        <v>822446.15533776931</v>
      </c>
      <c r="G9" s="170">
        <v>792317.9365500001</v>
      </c>
      <c r="H9" s="170">
        <v>774711.96727000002</v>
      </c>
      <c r="I9" s="170">
        <v>629979.12952239998</v>
      </c>
      <c r="J9" s="170">
        <v>729525</v>
      </c>
      <c r="K9" s="170">
        <v>717283</v>
      </c>
      <c r="L9" s="170">
        <v>750463.65935000009</v>
      </c>
      <c r="M9" s="170">
        <v>709714</v>
      </c>
      <c r="N9" s="170">
        <v>913724.75</v>
      </c>
      <c r="O9" s="346">
        <v>841247</v>
      </c>
    </row>
    <row r="10" spans="2:30" ht="15" hidden="1" outlineLevel="1" thickBot="1" x14ac:dyDescent="0.35">
      <c r="B10" s="174" t="s">
        <v>228</v>
      </c>
      <c r="C10" s="174" t="s">
        <v>228</v>
      </c>
      <c r="D10" s="175">
        <v>4198.1170928299998</v>
      </c>
      <c r="E10" s="176">
        <v>2447.26025566</v>
      </c>
      <c r="F10" s="176">
        <v>1129.403577</v>
      </c>
      <c r="G10" s="176">
        <v>196.91644602942011</v>
      </c>
      <c r="H10" s="176">
        <v>4277.7777183440003</v>
      </c>
      <c r="I10" s="176">
        <v>8140.0902811059996</v>
      </c>
      <c r="J10" s="176">
        <v>5428</v>
      </c>
      <c r="K10" s="176">
        <v>3221</v>
      </c>
      <c r="L10" s="176">
        <v>0</v>
      </c>
      <c r="M10" s="176">
        <v>0</v>
      </c>
      <c r="N10" s="176">
        <v>0</v>
      </c>
      <c r="O10" s="347">
        <v>0</v>
      </c>
    </row>
    <row r="11" spans="2:30" ht="15" collapsed="1" thickBot="1" x14ac:dyDescent="0.35">
      <c r="B11" s="177" t="s">
        <v>223</v>
      </c>
      <c r="C11" s="177" t="s">
        <v>224</v>
      </c>
      <c r="D11" s="178">
        <f>SUM(D4:D10)</f>
        <v>669655.16777480999</v>
      </c>
      <c r="E11" s="179">
        <f t="shared" ref="E11:J11" si="5">SUM(E4:E10)</f>
        <v>522868.91159710498</v>
      </c>
      <c r="F11" s="179">
        <f t="shared" si="5"/>
        <v>2172697.6865718607</v>
      </c>
      <c r="G11" s="179">
        <f t="shared" si="5"/>
        <v>2082724.3373598338</v>
      </c>
      <c r="H11" s="179">
        <f t="shared" si="5"/>
        <v>2252795.325520549</v>
      </c>
      <c r="I11" s="179">
        <f t="shared" si="5"/>
        <v>1985820.9323091195</v>
      </c>
      <c r="J11" s="179">
        <f t="shared" si="5"/>
        <v>2073496.2891249235</v>
      </c>
      <c r="K11" s="179">
        <f>SUM(K4:K10)</f>
        <v>2218127.6</v>
      </c>
      <c r="L11" s="179">
        <f>SUM(L4:L10)</f>
        <v>2464546.4213593211</v>
      </c>
      <c r="M11" s="179">
        <f>SUM(M4:M10)</f>
        <v>2114649.2000000002</v>
      </c>
      <c r="N11" s="179">
        <f>SUM(N4:N10)</f>
        <v>2221265.25</v>
      </c>
      <c r="O11" s="348">
        <f>SUM(O4:O10)</f>
        <v>2170897.4</v>
      </c>
    </row>
    <row r="13" spans="2:30" ht="15" thickBot="1" x14ac:dyDescent="0.35"/>
    <row r="14" spans="2:30" ht="15" thickBot="1" x14ac:dyDescent="0.35">
      <c r="B14" s="180" t="s">
        <v>229</v>
      </c>
      <c r="C14" s="264" t="s">
        <v>230</v>
      </c>
      <c r="D14" s="162">
        <v>2013</v>
      </c>
      <c r="E14" s="162">
        <f>+D14+1</f>
        <v>2014</v>
      </c>
      <c r="F14" s="162">
        <f t="shared" ref="F14:O14" si="6">+E14+1</f>
        <v>2015</v>
      </c>
      <c r="G14" s="162">
        <f t="shared" si="6"/>
        <v>2016</v>
      </c>
      <c r="H14" s="162">
        <f t="shared" si="6"/>
        <v>2017</v>
      </c>
      <c r="I14" s="162">
        <f t="shared" si="6"/>
        <v>2018</v>
      </c>
      <c r="J14" s="162">
        <f t="shared" si="6"/>
        <v>2019</v>
      </c>
      <c r="K14" s="263">
        <f t="shared" si="6"/>
        <v>2020</v>
      </c>
      <c r="L14" s="263">
        <f t="shared" si="6"/>
        <v>2021</v>
      </c>
      <c r="M14" s="263">
        <f t="shared" si="6"/>
        <v>2022</v>
      </c>
      <c r="N14" s="263">
        <f t="shared" si="6"/>
        <v>2023</v>
      </c>
      <c r="O14" s="344">
        <f t="shared" si="6"/>
        <v>2024</v>
      </c>
      <c r="Q14" s="164" t="s">
        <v>231</v>
      </c>
      <c r="R14" s="164" t="s">
        <v>232</v>
      </c>
      <c r="S14" s="30">
        <v>2013</v>
      </c>
      <c r="T14" s="30">
        <f>+S14+1</f>
        <v>2014</v>
      </c>
      <c r="U14" s="30">
        <f t="shared" ref="U14:AB14" si="7">+T14+1</f>
        <v>2015</v>
      </c>
      <c r="V14" s="30">
        <f t="shared" si="7"/>
        <v>2016</v>
      </c>
      <c r="W14" s="30">
        <f t="shared" si="7"/>
        <v>2017</v>
      </c>
      <c r="X14" s="30">
        <f t="shared" si="7"/>
        <v>2018</v>
      </c>
      <c r="Y14" s="30">
        <f t="shared" si="7"/>
        <v>2019</v>
      </c>
      <c r="Z14" s="268">
        <f t="shared" si="7"/>
        <v>2020</v>
      </c>
      <c r="AA14" s="268">
        <f t="shared" si="7"/>
        <v>2021</v>
      </c>
      <c r="AB14" s="268">
        <f t="shared" si="7"/>
        <v>2022</v>
      </c>
      <c r="AC14" s="268">
        <v>2023</v>
      </c>
      <c r="AD14" s="354">
        <v>2024</v>
      </c>
    </row>
    <row r="15" spans="2:30" ht="15" thickBot="1" x14ac:dyDescent="0.35">
      <c r="B15" s="181" t="s">
        <v>216</v>
      </c>
      <c r="C15" s="181" t="s">
        <v>216</v>
      </c>
      <c r="D15" s="166">
        <v>13064.129000000001</v>
      </c>
      <c r="E15" s="167">
        <v>8267.2520000000004</v>
      </c>
      <c r="F15" s="167">
        <v>705.72900000000004</v>
      </c>
      <c r="G15" s="167">
        <v>414.31824999999998</v>
      </c>
      <c r="H15" s="167">
        <v>2003.3050000000001</v>
      </c>
      <c r="I15" s="167">
        <v>1224.7750000000001</v>
      </c>
      <c r="J15" s="167">
        <v>1067.56</v>
      </c>
      <c r="K15" s="167">
        <v>2377.127</v>
      </c>
      <c r="L15" s="167">
        <v>5495.5048299999999</v>
      </c>
      <c r="M15" s="167">
        <v>1915.3920000000001</v>
      </c>
      <c r="N15" s="167">
        <v>2338.2640000000001</v>
      </c>
      <c r="O15" s="345">
        <v>2393.77</v>
      </c>
      <c r="Q15" s="202" t="s">
        <v>218</v>
      </c>
      <c r="R15" s="203" t="s">
        <v>218</v>
      </c>
      <c r="S15" s="194">
        <v>85180.214999999997</v>
      </c>
      <c r="T15" s="194">
        <v>152534.13</v>
      </c>
      <c r="U15" s="194">
        <v>215698.99</v>
      </c>
      <c r="V15" s="194">
        <v>203952.98</v>
      </c>
      <c r="W15" s="194">
        <v>271240</v>
      </c>
      <c r="X15" s="194">
        <v>269320</v>
      </c>
      <c r="Y15" s="194">
        <v>238198</v>
      </c>
      <c r="Z15" s="272">
        <v>296504.74</v>
      </c>
      <c r="AA15" s="272">
        <v>294563</v>
      </c>
      <c r="AB15" s="170">
        <v>482603</v>
      </c>
      <c r="AC15" s="170">
        <v>494429</v>
      </c>
      <c r="AD15" s="171">
        <v>418367</v>
      </c>
    </row>
    <row r="16" spans="2:30" ht="18.45" customHeight="1" thickBot="1" x14ac:dyDescent="0.35">
      <c r="B16" s="168" t="s">
        <v>219</v>
      </c>
      <c r="C16" s="168" t="s">
        <v>219</v>
      </c>
      <c r="D16" s="169">
        <v>14479.5</v>
      </c>
      <c r="E16" s="170">
        <v>9122.4</v>
      </c>
      <c r="F16" s="170">
        <v>6799.1000000000013</v>
      </c>
      <c r="G16" s="170">
        <v>5633.4</v>
      </c>
      <c r="H16" s="170">
        <v>13461.4</v>
      </c>
      <c r="I16" s="170">
        <v>11943.011</v>
      </c>
      <c r="J16" s="170">
        <v>9066.39</v>
      </c>
      <c r="K16" s="170">
        <v>14942.161</v>
      </c>
      <c r="L16" s="170">
        <v>31026.863000000001</v>
      </c>
      <c r="M16" s="170">
        <v>29372.448</v>
      </c>
      <c r="N16" s="170">
        <v>17665.719000000001</v>
      </c>
      <c r="O16" s="346">
        <v>8862.9509999999991</v>
      </c>
      <c r="R16" s="229" t="s">
        <v>267</v>
      </c>
      <c r="S16" s="230"/>
      <c r="T16" s="230"/>
      <c r="U16" s="230"/>
      <c r="V16" s="230"/>
      <c r="W16" s="231">
        <v>53872</v>
      </c>
      <c r="X16" s="231">
        <v>69888</v>
      </c>
      <c r="Y16" s="231">
        <v>52224</v>
      </c>
      <c r="Z16" s="231">
        <v>35040</v>
      </c>
      <c r="AA16" s="231">
        <v>70080</v>
      </c>
      <c r="AB16" s="230">
        <v>88047</v>
      </c>
      <c r="AC16" s="230">
        <v>107078</v>
      </c>
      <c r="AD16" s="362">
        <v>172995</v>
      </c>
    </row>
    <row r="17" spans="2:23" x14ac:dyDescent="0.3">
      <c r="B17" s="168" t="s">
        <v>222</v>
      </c>
      <c r="C17" s="168" t="s">
        <v>222</v>
      </c>
      <c r="D17" s="169"/>
      <c r="E17" s="170"/>
      <c r="F17" s="170">
        <v>7669.3</v>
      </c>
      <c r="G17" s="170">
        <v>5011.87</v>
      </c>
      <c r="H17" s="170">
        <v>14595.828</v>
      </c>
      <c r="I17" s="170">
        <v>12810</v>
      </c>
      <c r="J17" s="170">
        <v>9098</v>
      </c>
      <c r="K17" s="170">
        <v>13530</v>
      </c>
      <c r="L17" s="170">
        <v>15895</v>
      </c>
      <c r="M17" s="170">
        <v>11296</v>
      </c>
      <c r="N17" s="170">
        <v>6257.6</v>
      </c>
      <c r="O17" s="346">
        <v>18639.5</v>
      </c>
      <c r="R17" s="183"/>
      <c r="S17" s="184"/>
      <c r="T17" s="184"/>
      <c r="U17" s="184"/>
      <c r="V17" s="184"/>
      <c r="W17" s="184"/>
    </row>
    <row r="18" spans="2:23" x14ac:dyDescent="0.3">
      <c r="B18" s="168" t="s">
        <v>225</v>
      </c>
      <c r="C18" s="168" t="s">
        <v>225</v>
      </c>
      <c r="D18" s="169"/>
      <c r="E18" s="170"/>
      <c r="F18" s="170">
        <v>26812.799999999999</v>
      </c>
      <c r="G18" s="170">
        <v>28012.2</v>
      </c>
      <c r="H18" s="170">
        <v>22551.8</v>
      </c>
      <c r="I18" s="170">
        <v>22090.9</v>
      </c>
      <c r="J18" s="170">
        <v>24432.6</v>
      </c>
      <c r="K18" s="170">
        <v>26001.200000000001</v>
      </c>
      <c r="L18" s="170">
        <v>26513.100000000002</v>
      </c>
      <c r="M18" s="170">
        <v>20597.599999999999</v>
      </c>
      <c r="N18" s="170">
        <v>29475</v>
      </c>
      <c r="O18" s="346">
        <v>27751</v>
      </c>
    </row>
    <row r="19" spans="2:23" x14ac:dyDescent="0.3">
      <c r="B19" s="168" t="s">
        <v>226</v>
      </c>
      <c r="C19" s="168" t="s">
        <v>226</v>
      </c>
      <c r="D19" s="169"/>
      <c r="E19" s="170"/>
      <c r="F19" s="170">
        <v>5538.6140000000005</v>
      </c>
      <c r="G19" s="170">
        <v>2586.7449999999999</v>
      </c>
      <c r="H19" s="170">
        <v>7656.2309999999998</v>
      </c>
      <c r="I19" s="170">
        <v>7909.8760000000002</v>
      </c>
      <c r="J19" s="170">
        <v>6382.56</v>
      </c>
      <c r="K19" s="170">
        <v>11613.913</v>
      </c>
      <c r="L19" s="170">
        <v>16380.82</v>
      </c>
      <c r="M19" s="170">
        <v>12715.846</v>
      </c>
      <c r="N19" s="170">
        <v>4522.0940000000001</v>
      </c>
      <c r="O19" s="346">
        <v>10076.780000000001</v>
      </c>
    </row>
    <row r="20" spans="2:23" x14ac:dyDescent="0.3">
      <c r="B20" s="168" t="s">
        <v>227</v>
      </c>
      <c r="C20" s="168" t="s">
        <v>227</v>
      </c>
      <c r="D20" s="169"/>
      <c r="E20" s="170"/>
      <c r="F20" s="170">
        <v>96088.721000000005</v>
      </c>
      <c r="G20" s="170">
        <v>93917</v>
      </c>
      <c r="H20" s="170">
        <v>93870.095000000001</v>
      </c>
      <c r="I20" s="170">
        <v>70895</v>
      </c>
      <c r="J20" s="170">
        <v>83382.25</v>
      </c>
      <c r="K20" s="170">
        <v>81535</v>
      </c>
      <c r="L20" s="170">
        <v>87999</v>
      </c>
      <c r="M20" s="170">
        <v>84421</v>
      </c>
      <c r="N20" s="170">
        <v>108928</v>
      </c>
      <c r="O20" s="346">
        <v>98481</v>
      </c>
    </row>
    <row r="21" spans="2:23" hidden="1" outlineLevel="1" x14ac:dyDescent="0.3">
      <c r="B21" s="168" t="s">
        <v>228</v>
      </c>
      <c r="C21" s="168" t="s">
        <v>228</v>
      </c>
      <c r="D21" s="175">
        <v>417.88</v>
      </c>
      <c r="E21" s="176">
        <v>245.36000000000004</v>
      </c>
      <c r="F21" s="176">
        <v>110.05</v>
      </c>
      <c r="G21" s="176">
        <v>19.275000000000301</v>
      </c>
      <c r="H21" s="176">
        <v>440.28</v>
      </c>
      <c r="I21" s="176">
        <v>819.06</v>
      </c>
      <c r="J21" s="176">
        <v>548.41999999999996</v>
      </c>
      <c r="K21" s="176">
        <v>327.3</v>
      </c>
      <c r="L21" s="176">
        <v>0</v>
      </c>
      <c r="M21" s="176">
        <v>0</v>
      </c>
      <c r="N21" s="176">
        <v>0</v>
      </c>
      <c r="O21" s="347">
        <v>0</v>
      </c>
    </row>
    <row r="22" spans="2:23" collapsed="1" x14ac:dyDescent="0.3">
      <c r="B22" s="168" t="s">
        <v>376</v>
      </c>
      <c r="C22" s="168" t="s">
        <v>368</v>
      </c>
      <c r="D22" s="175"/>
      <c r="E22" s="176"/>
      <c r="F22" s="176"/>
      <c r="G22" s="176"/>
      <c r="H22" s="176"/>
      <c r="I22" s="176">
        <v>1892.92</v>
      </c>
      <c r="J22" s="176">
        <v>4769.28</v>
      </c>
      <c r="K22" s="176">
        <v>3657.6019999999999</v>
      </c>
      <c r="L22" s="176">
        <v>4253.1960000000008</v>
      </c>
      <c r="M22" s="176">
        <v>3908.319</v>
      </c>
      <c r="N22" s="176">
        <v>4119.915</v>
      </c>
      <c r="O22" s="347">
        <v>4425.43</v>
      </c>
    </row>
    <row r="23" spans="2:23" x14ac:dyDescent="0.3">
      <c r="B23" s="168" t="s">
        <v>377</v>
      </c>
      <c r="C23" s="168" t="s">
        <v>369</v>
      </c>
      <c r="D23" s="175"/>
      <c r="E23" s="176"/>
      <c r="F23" s="176"/>
      <c r="G23" s="176"/>
      <c r="H23" s="176">
        <f>5234-1472</f>
        <v>3762</v>
      </c>
      <c r="I23" s="176">
        <v>3201.7330000000002</v>
      </c>
      <c r="J23" s="176">
        <v>4347.1400000000003</v>
      </c>
      <c r="K23" s="176">
        <v>3882.5160000000001</v>
      </c>
      <c r="L23" s="176">
        <v>4582.9590000000007</v>
      </c>
      <c r="M23" s="176">
        <v>4686.0739999999996</v>
      </c>
      <c r="N23" s="176">
        <v>4619.9449999999997</v>
      </c>
      <c r="O23" s="347">
        <v>5146.7730000000001</v>
      </c>
    </row>
    <row r="24" spans="2:23" x14ac:dyDescent="0.3">
      <c r="B24" s="168" t="s">
        <v>378</v>
      </c>
      <c r="C24" s="168" t="s">
        <v>370</v>
      </c>
      <c r="D24" s="175"/>
      <c r="E24" s="176"/>
      <c r="F24" s="176"/>
      <c r="G24" s="176"/>
      <c r="H24" s="176"/>
      <c r="I24" s="176">
        <f>10881/(3.6)</f>
        <v>3022.5</v>
      </c>
      <c r="J24" s="176">
        <v>4628.9399999999996</v>
      </c>
      <c r="K24" s="176">
        <v>3958.991</v>
      </c>
      <c r="L24" s="176">
        <v>4592.9069999999992</v>
      </c>
      <c r="M24" s="176">
        <v>4331.2020000000002</v>
      </c>
      <c r="N24" s="176">
        <v>4119.8850000000002</v>
      </c>
      <c r="O24" s="347">
        <v>4993.3990000000003</v>
      </c>
    </row>
    <row r="25" spans="2:23" x14ac:dyDescent="0.3">
      <c r="B25" s="168" t="s">
        <v>379</v>
      </c>
      <c r="C25" s="168" t="s">
        <v>371</v>
      </c>
      <c r="D25" s="175"/>
      <c r="E25" s="176"/>
      <c r="F25" s="176"/>
      <c r="G25" s="176"/>
      <c r="H25" s="176"/>
      <c r="I25" s="176"/>
      <c r="J25" s="176"/>
      <c r="K25" s="176"/>
      <c r="L25" s="176"/>
      <c r="M25" s="176">
        <v>966</v>
      </c>
      <c r="N25" s="176">
        <v>2692.7339999999999</v>
      </c>
      <c r="O25" s="347">
        <v>1226.9059999999999</v>
      </c>
    </row>
    <row r="26" spans="2:23" x14ac:dyDescent="0.3">
      <c r="B26" s="168" t="s">
        <v>380</v>
      </c>
      <c r="C26" s="168" t="s">
        <v>372</v>
      </c>
      <c r="D26" s="175"/>
      <c r="E26" s="176"/>
      <c r="F26" s="176"/>
      <c r="G26" s="176"/>
      <c r="H26" s="176"/>
      <c r="I26" s="176"/>
      <c r="J26" s="176"/>
      <c r="K26" s="176"/>
      <c r="L26" s="176"/>
      <c r="M26" s="176">
        <v>55345.709000000003</v>
      </c>
      <c r="N26" s="176">
        <v>55567.023999999998</v>
      </c>
      <c r="O26" s="347">
        <v>52041.563999999998</v>
      </c>
    </row>
    <row r="27" spans="2:23" x14ac:dyDescent="0.3">
      <c r="B27" s="168" t="s">
        <v>381</v>
      </c>
      <c r="C27" s="168" t="s">
        <v>373</v>
      </c>
      <c r="D27" s="175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347">
        <v>27419.262999999999</v>
      </c>
    </row>
    <row r="28" spans="2:23" x14ac:dyDescent="0.3">
      <c r="B28" s="168" t="s">
        <v>382</v>
      </c>
      <c r="C28" s="168" t="s">
        <v>374</v>
      </c>
      <c r="D28" s="175"/>
      <c r="E28" s="176"/>
      <c r="F28" s="176"/>
      <c r="G28" s="176"/>
      <c r="H28" s="176"/>
      <c r="I28" s="176"/>
      <c r="J28" s="176">
        <v>1759.09</v>
      </c>
      <c r="K28" s="176">
        <v>1081.7829999999999</v>
      </c>
      <c r="L28" s="176">
        <v>0</v>
      </c>
      <c r="M28" s="176"/>
      <c r="N28" s="176"/>
      <c r="O28" s="347"/>
    </row>
    <row r="29" spans="2:23" x14ac:dyDescent="0.3">
      <c r="B29" s="366" t="s">
        <v>383</v>
      </c>
      <c r="C29" s="366" t="s">
        <v>375</v>
      </c>
      <c r="D29" s="367"/>
      <c r="E29" s="368"/>
      <c r="F29" s="368"/>
      <c r="G29" s="368"/>
      <c r="H29" s="368"/>
      <c r="I29" s="368"/>
      <c r="J29" s="368"/>
      <c r="K29" s="368"/>
      <c r="L29" s="368">
        <v>1600.13</v>
      </c>
      <c r="M29" s="368">
        <v>3870.9070000000002</v>
      </c>
      <c r="N29" s="368">
        <v>4614</v>
      </c>
      <c r="O29" s="369">
        <v>3584</v>
      </c>
    </row>
    <row r="30" spans="2:23" x14ac:dyDescent="0.3">
      <c r="B30" s="366" t="s">
        <v>398</v>
      </c>
      <c r="C30" s="366" t="s">
        <v>391</v>
      </c>
      <c r="D30" s="367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9">
        <v>11264.99</v>
      </c>
    </row>
    <row r="31" spans="2:23" ht="15" thickBot="1" x14ac:dyDescent="0.35">
      <c r="B31" s="172" t="s">
        <v>393</v>
      </c>
      <c r="C31" s="172" t="s">
        <v>386</v>
      </c>
      <c r="D31" s="370"/>
      <c r="E31" s="371"/>
      <c r="F31" s="371"/>
      <c r="G31" s="371"/>
      <c r="H31" s="371"/>
      <c r="I31" s="371"/>
      <c r="J31" s="371"/>
      <c r="K31" s="371"/>
      <c r="L31" s="371"/>
      <c r="M31" s="371">
        <v>1997</v>
      </c>
      <c r="N31" s="371">
        <v>5546.9359999999997</v>
      </c>
      <c r="O31" s="372">
        <v>4974.9369999999999</v>
      </c>
    </row>
    <row r="32" spans="2:23" ht="15" thickBot="1" x14ac:dyDescent="0.35">
      <c r="B32" s="177" t="s">
        <v>223</v>
      </c>
      <c r="C32" s="177" t="s">
        <v>224</v>
      </c>
      <c r="D32" s="178">
        <f t="shared" ref="D32:K32" si="8">SUM(D15:D28)</f>
        <v>27961.509000000002</v>
      </c>
      <c r="E32" s="179">
        <f t="shared" si="8"/>
        <v>17635.012000000002</v>
      </c>
      <c r="F32" s="179">
        <f t="shared" si="8"/>
        <v>143724.31400000001</v>
      </c>
      <c r="G32" s="179">
        <f t="shared" si="8"/>
        <v>135594.80825</v>
      </c>
      <c r="H32" s="179">
        <f t="shared" si="8"/>
        <v>158340.93899999998</v>
      </c>
      <c r="I32" s="179">
        <f t="shared" si="8"/>
        <v>135809.77499999999</v>
      </c>
      <c r="J32" s="179">
        <f t="shared" si="8"/>
        <v>149482.23000000001</v>
      </c>
      <c r="K32" s="179">
        <f t="shared" si="8"/>
        <v>162907.59300000002</v>
      </c>
      <c r="L32" s="179">
        <f>SUM(L15:L29)</f>
        <v>198339.47983000003</v>
      </c>
      <c r="M32" s="179">
        <f>SUM(M15:M29)</f>
        <v>233426.49699999997</v>
      </c>
      <c r="N32" s="179">
        <f>SUM(N15:N29)</f>
        <v>244920.18000000002</v>
      </c>
      <c r="O32" s="348">
        <f>SUM(O15:O30)</f>
        <v>276307.326</v>
      </c>
    </row>
    <row r="33" spans="2:15" ht="15" thickBot="1" x14ac:dyDescent="0.35"/>
    <row r="34" spans="2:15" ht="15" thickBot="1" x14ac:dyDescent="0.35">
      <c r="B34" s="180" t="s">
        <v>233</v>
      </c>
      <c r="C34" s="180" t="s">
        <v>234</v>
      </c>
      <c r="D34" s="162">
        <v>2013</v>
      </c>
      <c r="E34" s="162">
        <f>+D34+1</f>
        <v>2014</v>
      </c>
      <c r="F34" s="162">
        <f t="shared" ref="F34:O34" si="9">+E34+1</f>
        <v>2015</v>
      </c>
      <c r="G34" s="162">
        <f t="shared" si="9"/>
        <v>2016</v>
      </c>
      <c r="H34" s="162">
        <f t="shared" si="9"/>
        <v>2017</v>
      </c>
      <c r="I34" s="162">
        <f t="shared" si="9"/>
        <v>2018</v>
      </c>
      <c r="J34" s="162">
        <f t="shared" si="9"/>
        <v>2019</v>
      </c>
      <c r="K34" s="263">
        <f t="shared" si="9"/>
        <v>2020</v>
      </c>
      <c r="L34" s="263">
        <f t="shared" si="9"/>
        <v>2021</v>
      </c>
      <c r="M34" s="263">
        <f t="shared" si="9"/>
        <v>2022</v>
      </c>
      <c r="N34" s="263">
        <f t="shared" si="9"/>
        <v>2023</v>
      </c>
      <c r="O34" s="344">
        <f t="shared" si="9"/>
        <v>2024</v>
      </c>
    </row>
    <row r="35" spans="2:15" x14ac:dyDescent="0.3">
      <c r="B35" s="165" t="s">
        <v>216</v>
      </c>
      <c r="C35" s="165" t="s">
        <v>216</v>
      </c>
      <c r="D35" s="166">
        <v>290702.81</v>
      </c>
      <c r="E35" s="167">
        <v>227788</v>
      </c>
      <c r="F35" s="167">
        <v>130629</v>
      </c>
      <c r="G35" s="167">
        <v>37280.5</v>
      </c>
      <c r="H35" s="167">
        <v>27816</v>
      </c>
      <c r="I35" s="167">
        <v>27606.7</v>
      </c>
      <c r="J35" s="167">
        <v>27923.7</v>
      </c>
      <c r="K35" s="167">
        <v>28673.4</v>
      </c>
      <c r="L35" s="167">
        <v>33724.299999999996</v>
      </c>
      <c r="M35" s="167">
        <v>26017</v>
      </c>
      <c r="N35" s="167">
        <v>22543</v>
      </c>
      <c r="O35" s="345">
        <v>22525.1</v>
      </c>
    </row>
    <row r="36" spans="2:15" x14ac:dyDescent="0.3">
      <c r="B36" s="168" t="s">
        <v>219</v>
      </c>
      <c r="C36" s="168" t="s">
        <v>219</v>
      </c>
      <c r="D36" s="169">
        <v>169219</v>
      </c>
      <c r="E36" s="170">
        <v>150929</v>
      </c>
      <c r="F36" s="170">
        <v>147050</v>
      </c>
      <c r="G36" s="170">
        <v>184577</v>
      </c>
      <c r="H36" s="170">
        <v>223406.5</v>
      </c>
      <c r="I36" s="170">
        <v>213003</v>
      </c>
      <c r="J36" s="170">
        <v>219231</v>
      </c>
      <c r="K36" s="170">
        <v>262146</v>
      </c>
      <c r="L36" s="170">
        <v>264355</v>
      </c>
      <c r="M36" s="170">
        <v>246801</v>
      </c>
      <c r="N36" s="170">
        <v>230117</v>
      </c>
      <c r="O36" s="346">
        <v>211670</v>
      </c>
    </row>
    <row r="37" spans="2:15" x14ac:dyDescent="0.3">
      <c r="B37" s="168" t="s">
        <v>222</v>
      </c>
      <c r="C37" s="168" t="s">
        <v>222</v>
      </c>
      <c r="D37" s="169"/>
      <c r="E37" s="170"/>
      <c r="F37" s="170">
        <v>398032</v>
      </c>
      <c r="G37" s="170">
        <v>416031</v>
      </c>
      <c r="H37" s="170">
        <v>442352</v>
      </c>
      <c r="I37" s="170">
        <v>400779</v>
      </c>
      <c r="J37" s="170">
        <v>411242</v>
      </c>
      <c r="K37" s="170">
        <v>365819</v>
      </c>
      <c r="L37" s="170">
        <v>446098.92999999993</v>
      </c>
      <c r="M37" s="170">
        <v>402924</v>
      </c>
      <c r="N37" s="170">
        <v>366992</v>
      </c>
      <c r="O37" s="346">
        <v>375083</v>
      </c>
    </row>
    <row r="38" spans="2:15" x14ac:dyDescent="0.3">
      <c r="B38" s="168" t="s">
        <v>225</v>
      </c>
      <c r="C38" s="168" t="s">
        <v>225</v>
      </c>
      <c r="D38" s="169"/>
      <c r="E38" s="170"/>
      <c r="F38" s="170">
        <v>95932</v>
      </c>
      <c r="G38" s="170">
        <v>102667</v>
      </c>
      <c r="H38" s="170">
        <v>83486</v>
      </c>
      <c r="I38" s="170">
        <v>85752</v>
      </c>
      <c r="J38" s="170">
        <v>88644</v>
      </c>
      <c r="K38" s="170">
        <v>92203</v>
      </c>
      <c r="L38" s="170">
        <v>95250</v>
      </c>
      <c r="M38" s="170">
        <v>78133</v>
      </c>
      <c r="N38" s="170">
        <v>108212</v>
      </c>
      <c r="O38" s="346">
        <v>100494</v>
      </c>
    </row>
    <row r="39" spans="2:15" x14ac:dyDescent="0.3">
      <c r="B39" s="168" t="s">
        <v>226</v>
      </c>
      <c r="C39" s="168" t="s">
        <v>226</v>
      </c>
      <c r="D39" s="169"/>
      <c r="E39" s="170"/>
      <c r="F39" s="170">
        <v>264005</v>
      </c>
      <c r="G39" s="170">
        <v>276030.3</v>
      </c>
      <c r="H39" s="170">
        <v>291914.30000000016</v>
      </c>
      <c r="I39" s="170">
        <v>258327</v>
      </c>
      <c r="J39" s="170">
        <v>251194</v>
      </c>
      <c r="K39" s="170">
        <v>246500</v>
      </c>
      <c r="L39" s="170">
        <v>265844.55599999998</v>
      </c>
      <c r="M39" s="170">
        <v>241902</v>
      </c>
      <c r="N39" s="170">
        <v>215729</v>
      </c>
      <c r="O39" s="346">
        <v>208700</v>
      </c>
    </row>
    <row r="40" spans="2:15" x14ac:dyDescent="0.3">
      <c r="B40" s="168" t="s">
        <v>227</v>
      </c>
      <c r="C40" s="168" t="s">
        <v>227</v>
      </c>
      <c r="D40" s="169"/>
      <c r="E40" s="170"/>
      <c r="F40" s="170">
        <v>328198.63199999998</v>
      </c>
      <c r="G40" s="170">
        <v>315849.28000000003</v>
      </c>
      <c r="H40" s="170">
        <v>309596</v>
      </c>
      <c r="I40" s="170">
        <v>245518.51</v>
      </c>
      <c r="J40" s="170">
        <v>290217</v>
      </c>
      <c r="K40" s="170">
        <v>278053</v>
      </c>
      <c r="L40" s="170">
        <v>296330.20499999996</v>
      </c>
      <c r="M40" s="170">
        <v>287807</v>
      </c>
      <c r="N40" s="170">
        <v>351336</v>
      </c>
      <c r="O40" s="346">
        <v>333161</v>
      </c>
    </row>
    <row r="41" spans="2:15" ht="15" thickBot="1" x14ac:dyDescent="0.35">
      <c r="B41" s="174" t="s">
        <v>228</v>
      </c>
      <c r="C41" s="174" t="s">
        <v>228</v>
      </c>
      <c r="D41" s="175">
        <v>1597.48</v>
      </c>
      <c r="E41" s="176">
        <v>858.86</v>
      </c>
      <c r="F41" s="176">
        <v>516.74</v>
      </c>
      <c r="G41" s="176">
        <v>64.409999999999854</v>
      </c>
      <c r="H41" s="176">
        <v>1454.6000000000006</v>
      </c>
      <c r="I41" s="176">
        <v>2521.9650000000001</v>
      </c>
      <c r="J41" s="176">
        <v>2012</v>
      </c>
      <c r="K41" s="176">
        <v>0</v>
      </c>
      <c r="L41" s="176">
        <v>0</v>
      </c>
      <c r="M41" s="176">
        <v>0</v>
      </c>
      <c r="N41" s="176">
        <v>0</v>
      </c>
      <c r="O41" s="347">
        <v>0</v>
      </c>
    </row>
    <row r="42" spans="2:15" ht="15" thickBot="1" x14ac:dyDescent="0.35">
      <c r="B42" s="177" t="s">
        <v>223</v>
      </c>
      <c r="C42" s="177" t="s">
        <v>224</v>
      </c>
      <c r="D42" s="178">
        <f>SUM(D35:D41)</f>
        <v>461519.29</v>
      </c>
      <c r="E42" s="179">
        <f t="shared" ref="E42:J42" si="10">SUM(E35:E41)</f>
        <v>379575.86</v>
      </c>
      <c r="F42" s="179">
        <f t="shared" si="10"/>
        <v>1364363.372</v>
      </c>
      <c r="G42" s="179">
        <f t="shared" si="10"/>
        <v>1332499.49</v>
      </c>
      <c r="H42" s="179">
        <f t="shared" si="10"/>
        <v>1380025.4000000004</v>
      </c>
      <c r="I42" s="179">
        <f t="shared" si="10"/>
        <v>1233508.175</v>
      </c>
      <c r="J42" s="179">
        <f t="shared" si="10"/>
        <v>1290463.7</v>
      </c>
      <c r="K42" s="179">
        <f>SUM(K35:K41)</f>
        <v>1273394.3999999999</v>
      </c>
      <c r="L42" s="179">
        <f>SUM(L35:L41)</f>
        <v>1401602.9909999999</v>
      </c>
      <c r="M42" s="179">
        <f>SUM(M35:M41)</f>
        <v>1283584</v>
      </c>
      <c r="N42" s="179">
        <f>SUM(N35:N41)</f>
        <v>1294929</v>
      </c>
      <c r="O42" s="348">
        <f>SUM(O35:O41)</f>
        <v>1251633.1000000001</v>
      </c>
    </row>
    <row r="43" spans="2:15" ht="15" thickBot="1" x14ac:dyDescent="0.35">
      <c r="M43"/>
      <c r="N43"/>
    </row>
    <row r="44" spans="2:15" ht="15" thickBot="1" x14ac:dyDescent="0.35">
      <c r="B44" s="180" t="s">
        <v>235</v>
      </c>
      <c r="C44" s="180" t="s">
        <v>230</v>
      </c>
      <c r="D44" s="162">
        <v>2013</v>
      </c>
      <c r="E44" s="162">
        <f>+D44+1</f>
        <v>2014</v>
      </c>
      <c r="F44" s="162">
        <f t="shared" ref="F44:L44" si="11">+E44+1</f>
        <v>2015</v>
      </c>
      <c r="G44" s="162">
        <f t="shared" si="11"/>
        <v>2016</v>
      </c>
      <c r="H44" s="162">
        <f t="shared" si="11"/>
        <v>2017</v>
      </c>
      <c r="I44" s="162">
        <f t="shared" si="11"/>
        <v>2018</v>
      </c>
      <c r="J44" s="162">
        <f t="shared" si="11"/>
        <v>2019</v>
      </c>
      <c r="K44" s="263">
        <f t="shared" si="11"/>
        <v>2020</v>
      </c>
      <c r="L44" s="263">
        <f t="shared" si="11"/>
        <v>2021</v>
      </c>
      <c r="M44" s="263">
        <f t="shared" ref="M44" si="12">+L44+1</f>
        <v>2022</v>
      </c>
      <c r="N44" s="263">
        <f t="shared" ref="N44:O44" si="13">+M44+1</f>
        <v>2023</v>
      </c>
      <c r="O44" s="344">
        <f t="shared" si="13"/>
        <v>2024</v>
      </c>
    </row>
    <row r="45" spans="2:15" x14ac:dyDescent="0.3">
      <c r="B45" s="181" t="s">
        <v>376</v>
      </c>
      <c r="C45" s="181" t="s">
        <v>368</v>
      </c>
      <c r="D45" s="193">
        <v>4617.8999999999996</v>
      </c>
      <c r="E45" s="194">
        <v>4353.5079999999998</v>
      </c>
      <c r="F45" s="194">
        <v>4684.277</v>
      </c>
      <c r="G45" s="194">
        <v>4616.6859999999997</v>
      </c>
      <c r="H45" s="194">
        <v>5002.4189999999999</v>
      </c>
      <c r="I45" s="194">
        <v>1557</v>
      </c>
      <c r="J45" s="194">
        <v>0</v>
      </c>
      <c r="K45" s="194">
        <v>0</v>
      </c>
      <c r="L45" s="194">
        <v>0</v>
      </c>
      <c r="M45" s="194">
        <v>0</v>
      </c>
      <c r="N45" s="194">
        <v>0</v>
      </c>
      <c r="O45" s="349">
        <v>0</v>
      </c>
    </row>
    <row r="46" spans="2:15" x14ac:dyDescent="0.3">
      <c r="B46" s="168" t="s">
        <v>377</v>
      </c>
      <c r="C46" s="168" t="s">
        <v>369</v>
      </c>
      <c r="D46" s="169">
        <v>5709.7179999999998</v>
      </c>
      <c r="E46" s="170">
        <v>5269.5360000000001</v>
      </c>
      <c r="F46" s="170">
        <v>5590.1059999999998</v>
      </c>
      <c r="G46" s="170">
        <v>5355.4750000000004</v>
      </c>
      <c r="H46" s="170">
        <v>1472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346">
        <v>0</v>
      </c>
    </row>
    <row r="47" spans="2:15" x14ac:dyDescent="0.3">
      <c r="B47" s="168" t="s">
        <v>378</v>
      </c>
      <c r="C47" s="168" t="s">
        <v>370</v>
      </c>
      <c r="D47" s="169">
        <v>5019.6297930000001</v>
      </c>
      <c r="E47" s="170">
        <v>5045.6790000000001</v>
      </c>
      <c r="F47" s="170">
        <v>5032.7039999999997</v>
      </c>
      <c r="G47" s="170">
        <v>5052.1930000000002</v>
      </c>
      <c r="H47" s="170">
        <v>5228.8109999999997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346">
        <v>0</v>
      </c>
    </row>
    <row r="48" spans="2:15" x14ac:dyDescent="0.3">
      <c r="B48" s="168" t="s">
        <v>379</v>
      </c>
      <c r="C48" s="168" t="s">
        <v>371</v>
      </c>
      <c r="D48" s="169">
        <v>2634.049</v>
      </c>
      <c r="E48" s="170">
        <v>2839.1370000000002</v>
      </c>
      <c r="F48" s="170">
        <v>3245.422</v>
      </c>
      <c r="G48" s="170">
        <v>3310.5720000000001</v>
      </c>
      <c r="H48" s="170">
        <v>2709.32</v>
      </c>
      <c r="I48" s="170">
        <v>1853.383</v>
      </c>
      <c r="J48" s="170">
        <v>1663.06</v>
      </c>
      <c r="K48" s="170">
        <v>247.32</v>
      </c>
      <c r="L48" s="170">
        <v>1850.3045</v>
      </c>
      <c r="M48" s="170">
        <v>589</v>
      </c>
      <c r="N48" s="170">
        <v>0</v>
      </c>
      <c r="O48" s="346">
        <v>0</v>
      </c>
    </row>
    <row r="49" spans="2:17" x14ac:dyDescent="0.3">
      <c r="B49" s="168" t="s">
        <v>380</v>
      </c>
      <c r="C49" s="168" t="s">
        <v>372</v>
      </c>
      <c r="D49" s="169"/>
      <c r="E49" s="170"/>
      <c r="F49" s="170"/>
      <c r="G49" s="170"/>
      <c r="H49" s="170"/>
      <c r="I49" s="170"/>
      <c r="J49" s="170">
        <v>37575.68</v>
      </c>
      <c r="K49" s="170">
        <v>53918.726999999999</v>
      </c>
      <c r="L49" s="170">
        <v>58785.404999999999</v>
      </c>
      <c r="M49" s="170">
        <v>32661</v>
      </c>
      <c r="N49" s="170">
        <v>0</v>
      </c>
      <c r="O49" s="346">
        <v>0</v>
      </c>
    </row>
    <row r="50" spans="2:17" x14ac:dyDescent="0.3">
      <c r="B50" s="168" t="s">
        <v>392</v>
      </c>
      <c r="C50" s="168" t="s">
        <v>384</v>
      </c>
      <c r="D50" s="169"/>
      <c r="E50" s="170"/>
      <c r="F50" s="170"/>
      <c r="G50" s="170"/>
      <c r="H50" s="170"/>
      <c r="I50" s="170"/>
      <c r="J50" s="170"/>
      <c r="K50" s="170">
        <v>7011.4</v>
      </c>
      <c r="L50" s="170">
        <v>28251.642</v>
      </c>
      <c r="M50" s="170">
        <v>25990</v>
      </c>
      <c r="N50" s="170">
        <v>24900.422999999999</v>
      </c>
      <c r="O50" s="346">
        <v>27419</v>
      </c>
    </row>
    <row r="51" spans="2:17" x14ac:dyDescent="0.3">
      <c r="B51" s="168" t="s">
        <v>236</v>
      </c>
      <c r="C51" s="168" t="s">
        <v>236</v>
      </c>
      <c r="D51" s="169">
        <v>4558.9009999999998</v>
      </c>
      <c r="E51" s="170">
        <v>4048.6118287499999</v>
      </c>
      <c r="F51" s="170">
        <v>3464.99</v>
      </c>
      <c r="G51" s="170">
        <v>3205.46</v>
      </c>
      <c r="H51" s="170">
        <v>2236.4459999999999</v>
      </c>
      <c r="I51" s="170">
        <v>3188.8270000000002</v>
      </c>
      <c r="J51" s="170">
        <v>2579.79</v>
      </c>
      <c r="K51" s="170">
        <v>0</v>
      </c>
      <c r="L51" s="170">
        <v>0</v>
      </c>
      <c r="M51" s="170">
        <v>0</v>
      </c>
      <c r="N51" s="170">
        <v>0</v>
      </c>
      <c r="O51" s="346">
        <v>0</v>
      </c>
    </row>
    <row r="52" spans="2:17" x14ac:dyDescent="0.3">
      <c r="B52" s="168" t="s">
        <v>237</v>
      </c>
      <c r="C52" s="168" t="s">
        <v>237</v>
      </c>
      <c r="D52" s="169"/>
      <c r="E52" s="170"/>
      <c r="F52" s="170"/>
      <c r="G52" s="170"/>
      <c r="H52" s="170">
        <v>1224.799</v>
      </c>
      <c r="I52" s="170">
        <v>2647.848</v>
      </c>
      <c r="J52" s="170">
        <v>1017.87</v>
      </c>
      <c r="K52" s="170">
        <v>3477.7</v>
      </c>
      <c r="L52" s="170">
        <v>2917.94</v>
      </c>
      <c r="M52" s="170">
        <v>144</v>
      </c>
      <c r="N52" s="170">
        <v>0</v>
      </c>
      <c r="O52" s="346">
        <v>0</v>
      </c>
      <c r="Q52" s="29"/>
    </row>
    <row r="53" spans="2:17" hidden="1" outlineLevel="1" x14ac:dyDescent="0.3">
      <c r="B53" s="168" t="s">
        <v>238</v>
      </c>
      <c r="C53" s="168" t="s">
        <v>238</v>
      </c>
      <c r="D53" s="169">
        <v>1135.662</v>
      </c>
      <c r="E53" s="170">
        <v>1048.71</v>
      </c>
      <c r="F53" s="170">
        <v>902.10900000000004</v>
      </c>
      <c r="G53" s="170">
        <v>712.56899999999996</v>
      </c>
      <c r="H53" s="170">
        <v>670.67200000000003</v>
      </c>
      <c r="I53" s="170">
        <v>816.58600000000001</v>
      </c>
      <c r="J53" s="170">
        <v>421.13600000000002</v>
      </c>
      <c r="K53" s="170">
        <v>0</v>
      </c>
      <c r="L53" s="170">
        <v>0</v>
      </c>
      <c r="M53" s="170">
        <v>0</v>
      </c>
      <c r="N53" s="170">
        <v>0</v>
      </c>
      <c r="O53" s="346">
        <v>0</v>
      </c>
    </row>
    <row r="54" spans="2:17" hidden="1" outlineLevel="1" x14ac:dyDescent="0.3">
      <c r="B54" s="168" t="s">
        <v>239</v>
      </c>
      <c r="C54" s="168" t="s">
        <v>239</v>
      </c>
      <c r="D54" s="169">
        <v>2637.5347879999999</v>
      </c>
      <c r="E54" s="170">
        <v>2429.3680445999998</v>
      </c>
      <c r="F54" s="170">
        <v>1874.4763249999999</v>
      </c>
      <c r="G54" s="170">
        <v>1490.8600749999998</v>
      </c>
      <c r="H54" s="170">
        <v>994.73</v>
      </c>
      <c r="I54" s="170">
        <v>408.49</v>
      </c>
      <c r="J54" s="170">
        <v>0</v>
      </c>
      <c r="K54" s="170">
        <v>0</v>
      </c>
      <c r="L54" s="170">
        <v>0</v>
      </c>
      <c r="M54" s="170">
        <v>0</v>
      </c>
      <c r="N54" s="170">
        <v>0</v>
      </c>
      <c r="O54" s="346">
        <v>0</v>
      </c>
    </row>
    <row r="55" spans="2:17" collapsed="1" x14ac:dyDescent="0.3">
      <c r="B55" s="168" t="s">
        <v>240</v>
      </c>
      <c r="C55" s="168" t="s">
        <v>240</v>
      </c>
      <c r="D55" s="169"/>
      <c r="E55" s="170"/>
      <c r="F55" s="170"/>
      <c r="G55" s="170">
        <v>0</v>
      </c>
      <c r="H55" s="170">
        <v>0</v>
      </c>
      <c r="I55" s="170">
        <v>0</v>
      </c>
      <c r="J55" s="170">
        <v>0</v>
      </c>
      <c r="K55" s="170">
        <v>0</v>
      </c>
      <c r="L55" s="170">
        <v>0</v>
      </c>
      <c r="M55" s="170">
        <v>0</v>
      </c>
      <c r="N55" s="170">
        <v>0</v>
      </c>
      <c r="O55" s="346">
        <v>0</v>
      </c>
    </row>
    <row r="56" spans="2:17" x14ac:dyDescent="0.3">
      <c r="B56" s="168" t="s">
        <v>393</v>
      </c>
      <c r="C56" s="168" t="s">
        <v>386</v>
      </c>
      <c r="D56" s="169"/>
      <c r="E56" s="170"/>
      <c r="F56" s="170">
        <v>4393.5739999999996</v>
      </c>
      <c r="G56" s="170">
        <v>5294.9539999999997</v>
      </c>
      <c r="H56" s="170">
        <v>4953.25</v>
      </c>
      <c r="I56" s="170">
        <v>4482.0439999999999</v>
      </c>
      <c r="J56" s="170">
        <v>4355.6002500000004</v>
      </c>
      <c r="K56" s="170">
        <v>5314.29</v>
      </c>
      <c r="L56" s="170">
        <v>4916.6847500000003</v>
      </c>
      <c r="M56" s="170">
        <f>3204-1997</f>
        <v>1207</v>
      </c>
      <c r="N56" s="170">
        <v>0</v>
      </c>
      <c r="O56" s="346">
        <v>0</v>
      </c>
    </row>
    <row r="57" spans="2:17" x14ac:dyDescent="0.3">
      <c r="B57" s="168" t="s">
        <v>394</v>
      </c>
      <c r="C57" s="168" t="s">
        <v>385</v>
      </c>
      <c r="D57" s="169"/>
      <c r="E57" s="170"/>
      <c r="F57" s="170">
        <v>3274.5059999999999</v>
      </c>
      <c r="G57" s="170">
        <v>2482.5410000000002</v>
      </c>
      <c r="H57" s="170">
        <v>3632.91</v>
      </c>
      <c r="I57" s="170">
        <v>3253.8150000000001</v>
      </c>
      <c r="J57" s="170">
        <v>0</v>
      </c>
      <c r="K57" s="170">
        <v>0</v>
      </c>
      <c r="L57" s="170">
        <v>6140.8289999999997</v>
      </c>
      <c r="M57" s="170">
        <v>4199</v>
      </c>
      <c r="N57" s="170">
        <v>6819.4290000000001</v>
      </c>
      <c r="O57" s="346">
        <v>6448.4709999999995</v>
      </c>
    </row>
    <row r="58" spans="2:17" x14ac:dyDescent="0.3">
      <c r="B58" s="168" t="s">
        <v>395</v>
      </c>
      <c r="C58" s="168" t="s">
        <v>387</v>
      </c>
      <c r="D58" s="169"/>
      <c r="E58" s="170"/>
      <c r="F58" s="170"/>
      <c r="G58" s="170"/>
      <c r="H58" s="170"/>
      <c r="I58" s="170">
        <v>2758</v>
      </c>
      <c r="J58" s="170">
        <v>2765.25</v>
      </c>
      <c r="K58" s="170">
        <v>2870.989</v>
      </c>
      <c r="L58" s="170">
        <v>3012.8649999999998</v>
      </c>
      <c r="M58" s="170">
        <v>3070.59</v>
      </c>
      <c r="N58" s="170">
        <v>2870.5729999999999</v>
      </c>
      <c r="O58" s="346">
        <v>2906.6039999999998</v>
      </c>
    </row>
    <row r="59" spans="2:17" x14ac:dyDescent="0.3">
      <c r="B59" s="168" t="s">
        <v>388</v>
      </c>
      <c r="C59" s="168" t="s">
        <v>388</v>
      </c>
      <c r="D59" s="169"/>
      <c r="E59" s="170"/>
      <c r="F59" s="170"/>
      <c r="G59" s="170"/>
      <c r="H59" s="170"/>
      <c r="I59" s="170">
        <v>146.03</v>
      </c>
      <c r="J59" s="170">
        <v>6449.22</v>
      </c>
      <c r="K59" s="170">
        <v>6309.9489999999996</v>
      </c>
      <c r="L59" s="170">
        <v>6472.1545454545403</v>
      </c>
      <c r="M59" s="170">
        <v>6302.4009999999998</v>
      </c>
      <c r="N59" s="170">
        <v>5683.39</v>
      </c>
      <c r="O59" s="346">
        <v>6004.5460000000003</v>
      </c>
    </row>
    <row r="60" spans="2:17" x14ac:dyDescent="0.3">
      <c r="B60" s="168" t="s">
        <v>396</v>
      </c>
      <c r="C60" s="168" t="s">
        <v>389</v>
      </c>
      <c r="D60" s="169"/>
      <c r="E60" s="170"/>
      <c r="F60" s="170"/>
      <c r="G60" s="170"/>
      <c r="H60" s="170"/>
      <c r="I60" s="170"/>
      <c r="J60" s="170">
        <v>5484.03</v>
      </c>
      <c r="K60" s="170">
        <v>8660.3649999999998</v>
      </c>
      <c r="L60" s="170">
        <v>7880.8080808080804</v>
      </c>
      <c r="M60" s="170">
        <v>9506.5570000000007</v>
      </c>
      <c r="N60" s="170">
        <v>8561.5889999999999</v>
      </c>
      <c r="O60" s="346">
        <v>9481.9920000000002</v>
      </c>
    </row>
    <row r="61" spans="2:17" ht="15" thickBot="1" x14ac:dyDescent="0.35">
      <c r="B61" s="168" t="s">
        <v>397</v>
      </c>
      <c r="C61" s="168" t="s">
        <v>390</v>
      </c>
      <c r="D61" s="169"/>
      <c r="E61" s="170"/>
      <c r="F61" s="170"/>
      <c r="G61" s="170"/>
      <c r="H61" s="170"/>
      <c r="I61" s="170"/>
      <c r="J61" s="170">
        <v>6144.62</v>
      </c>
      <c r="K61" s="170">
        <v>12020.335999999999</v>
      </c>
      <c r="L61" s="170">
        <v>12395.097979798</v>
      </c>
      <c r="M61" s="170">
        <v>12436.085999999999</v>
      </c>
      <c r="N61" s="170">
        <v>11308.126</v>
      </c>
      <c r="O61" s="346">
        <v>12202.950999999999</v>
      </c>
    </row>
    <row r="62" spans="2:17" ht="15" thickBot="1" x14ac:dyDescent="0.35">
      <c r="B62" s="177" t="s">
        <v>223</v>
      </c>
      <c r="C62" s="177" t="s">
        <v>224</v>
      </c>
      <c r="D62" s="178">
        <f>SUM(D45:D61)</f>
        <v>26313.394581</v>
      </c>
      <c r="E62" s="179">
        <f>SUM(E45:E61)</f>
        <v>25034.549873349999</v>
      </c>
      <c r="F62" s="179">
        <f>SUM(F45:F61)</f>
        <v>32462.164324999998</v>
      </c>
      <c r="G62" s="179">
        <f>SUM(G45:G61)</f>
        <v>31521.310074999998</v>
      </c>
      <c r="H62" s="179">
        <f>SUM(H45:H61)</f>
        <v>28125.356999999996</v>
      </c>
      <c r="I62" s="179">
        <f>SUM(I45:I61)</f>
        <v>21112.022999999997</v>
      </c>
      <c r="J62" s="179">
        <f>SUM(J45:J61)</f>
        <v>68456.256250000006</v>
      </c>
      <c r="K62" s="179">
        <f>SUM(K45:K61)</f>
        <v>99831.075999999986</v>
      </c>
      <c r="L62" s="179">
        <f>SUM(L45:L61)</f>
        <v>132623.73085606063</v>
      </c>
      <c r="M62" s="179">
        <f>SUM(M45:M61)</f>
        <v>96105.633999999991</v>
      </c>
      <c r="N62" s="179">
        <f>SUM(N45:N61)</f>
        <v>60143.53</v>
      </c>
      <c r="O62" s="348">
        <f>SUM(O45:O61)</f>
        <v>64463.563999999998</v>
      </c>
    </row>
    <row r="64" spans="2:17" ht="15" thickBot="1" x14ac:dyDescent="0.35">
      <c r="Q64" s="29"/>
    </row>
    <row r="65" spans="2:17" ht="15" thickBot="1" x14ac:dyDescent="0.35">
      <c r="B65" s="180" t="s">
        <v>241</v>
      </c>
      <c r="C65" s="180" t="s">
        <v>242</v>
      </c>
      <c r="D65" s="162">
        <v>2013</v>
      </c>
      <c r="E65" s="162">
        <f>+D65+1</f>
        <v>2014</v>
      </c>
      <c r="F65" s="162">
        <f t="shared" ref="F65:J65" si="14">+E65+1</f>
        <v>2015</v>
      </c>
      <c r="G65" s="162">
        <f t="shared" si="14"/>
        <v>2016</v>
      </c>
      <c r="H65" s="162">
        <f t="shared" si="14"/>
        <v>2017</v>
      </c>
      <c r="I65" s="162">
        <f t="shared" si="14"/>
        <v>2018</v>
      </c>
      <c r="J65" s="162">
        <f t="shared" si="14"/>
        <v>2019</v>
      </c>
      <c r="K65" s="263">
        <v>2020</v>
      </c>
      <c r="L65" s="263">
        <f>+K65+1</f>
        <v>2021</v>
      </c>
      <c r="M65" s="263">
        <f>+L65+1</f>
        <v>2022</v>
      </c>
      <c r="N65" s="263">
        <f>+M65+1</f>
        <v>2023</v>
      </c>
      <c r="O65" s="344">
        <f>+N65+1</f>
        <v>2024</v>
      </c>
      <c r="Q65" s="29"/>
    </row>
    <row r="66" spans="2:17" x14ac:dyDescent="0.3">
      <c r="B66" s="165" t="s">
        <v>243</v>
      </c>
      <c r="C66" s="165" t="s">
        <v>244</v>
      </c>
      <c r="D66" s="185">
        <v>7.1</v>
      </c>
      <c r="E66" s="186">
        <v>7.1</v>
      </c>
      <c r="F66" s="186">
        <v>7.1</v>
      </c>
      <c r="G66" s="186">
        <v>7.1</v>
      </c>
      <c r="H66" s="186">
        <v>7.1</v>
      </c>
      <c r="I66" s="186">
        <v>7.1</v>
      </c>
      <c r="J66" s="186">
        <v>32.1</v>
      </c>
      <c r="K66" s="186">
        <v>47.1</v>
      </c>
      <c r="L66" s="186">
        <v>47.1</v>
      </c>
      <c r="M66" s="186">
        <v>47.5</v>
      </c>
      <c r="N66" s="186">
        <v>47.5</v>
      </c>
      <c r="O66" s="350">
        <v>71.5</v>
      </c>
    </row>
    <row r="67" spans="2:17" x14ac:dyDescent="0.3">
      <c r="B67" s="168" t="s">
        <v>245</v>
      </c>
      <c r="C67" s="168" t="s">
        <v>246</v>
      </c>
      <c r="D67" s="187">
        <v>1.4</v>
      </c>
      <c r="E67" s="188">
        <v>1.4</v>
      </c>
      <c r="F67" s="188">
        <v>1.4</v>
      </c>
      <c r="G67" s="188">
        <v>1.4</v>
      </c>
      <c r="H67" s="188">
        <v>1.4</v>
      </c>
      <c r="I67" s="188">
        <v>1.4</v>
      </c>
      <c r="J67" s="188">
        <v>1.4</v>
      </c>
      <c r="K67" s="188">
        <v>1.91</v>
      </c>
      <c r="L67" s="188">
        <v>1.91</v>
      </c>
      <c r="M67" s="188">
        <v>1.91</v>
      </c>
      <c r="N67" s="188">
        <v>1.91</v>
      </c>
      <c r="O67" s="351">
        <v>1.91</v>
      </c>
    </row>
    <row r="68" spans="2:17" x14ac:dyDescent="0.3">
      <c r="B68" s="168" t="s">
        <v>247</v>
      </c>
      <c r="C68" s="168" t="s">
        <v>248</v>
      </c>
      <c r="D68" s="187"/>
      <c r="E68" s="188"/>
      <c r="F68" s="188"/>
      <c r="G68" s="188"/>
      <c r="H68" s="188">
        <v>2</v>
      </c>
      <c r="I68" s="188">
        <v>6</v>
      </c>
      <c r="J68" s="188">
        <v>19.12</v>
      </c>
      <c r="K68" s="188">
        <v>19.12</v>
      </c>
      <c r="L68" s="188">
        <v>19.12</v>
      </c>
      <c r="M68" s="188">
        <v>19.12</v>
      </c>
      <c r="N68" s="188">
        <v>19.12</v>
      </c>
      <c r="O68" s="351">
        <v>38.6</v>
      </c>
    </row>
    <row r="69" spans="2:17" ht="15" thickBot="1" x14ac:dyDescent="0.35">
      <c r="B69" s="189" t="s">
        <v>249</v>
      </c>
      <c r="C69" s="189" t="s">
        <v>250</v>
      </c>
      <c r="D69" s="175"/>
      <c r="E69" s="176"/>
      <c r="F69" s="190">
        <f>0.625+0.143+0.499</f>
        <v>1.2669999999999999</v>
      </c>
      <c r="G69" s="190">
        <f>0.625+0.143+0.499</f>
        <v>1.2669999999999999</v>
      </c>
      <c r="H69" s="190">
        <f>0.625+0.143+0.499+0.499</f>
        <v>1.766</v>
      </c>
      <c r="I69" s="190">
        <f>+H69-0.499</f>
        <v>1.2669999999999999</v>
      </c>
      <c r="J69" s="190">
        <f>0.625+0.499</f>
        <v>1.1240000000000001</v>
      </c>
      <c r="K69" s="190">
        <v>1.1200000000000001</v>
      </c>
      <c r="L69" s="190">
        <v>1.1200000000000001</v>
      </c>
      <c r="M69" s="190">
        <v>1.1200000000000001</v>
      </c>
      <c r="N69" s="190">
        <v>3.1</v>
      </c>
      <c r="O69" s="352">
        <v>3.1</v>
      </c>
    </row>
    <row r="70" spans="2:17" ht="15" thickBot="1" x14ac:dyDescent="0.35">
      <c r="B70" s="177" t="s">
        <v>223</v>
      </c>
      <c r="C70" s="177" t="s">
        <v>224</v>
      </c>
      <c r="D70" s="178"/>
      <c r="E70" s="179"/>
      <c r="F70" s="179"/>
      <c r="G70" s="179">
        <f>SUM(G66:G69)</f>
        <v>9.7669999999999995</v>
      </c>
      <c r="H70" s="179">
        <f t="shared" ref="H70:I70" si="15">SUM(H66:H69)</f>
        <v>12.266</v>
      </c>
      <c r="I70" s="179">
        <f t="shared" si="15"/>
        <v>15.766999999999999</v>
      </c>
      <c r="J70" s="204">
        <f t="shared" ref="J70:O70" si="16">SUM(J66:J69)</f>
        <v>53.744000000000007</v>
      </c>
      <c r="K70" s="204">
        <f t="shared" si="16"/>
        <v>69.25</v>
      </c>
      <c r="L70" s="204">
        <f t="shared" si="16"/>
        <v>69.25</v>
      </c>
      <c r="M70" s="204">
        <f t="shared" si="16"/>
        <v>69.650000000000006</v>
      </c>
      <c r="N70" s="204">
        <f t="shared" si="16"/>
        <v>71.63</v>
      </c>
      <c r="O70" s="353">
        <f t="shared" si="16"/>
        <v>115.10999999999999</v>
      </c>
    </row>
    <row r="71" spans="2:17" ht="15" thickBot="1" x14ac:dyDescent="0.35">
      <c r="B71" s="182"/>
      <c r="C71" s="182"/>
      <c r="D71" s="29"/>
      <c r="E71" s="29"/>
      <c r="F71" s="29"/>
      <c r="G71" s="29"/>
      <c r="H71" s="29"/>
      <c r="I71" s="191"/>
      <c r="J71" s="191"/>
      <c r="K71" s="191"/>
      <c r="L71" s="191"/>
      <c r="M71" s="191"/>
      <c r="N71" s="191"/>
      <c r="O71" s="342"/>
    </row>
    <row r="72" spans="2:17" ht="24.6" thickBot="1" x14ac:dyDescent="0.35">
      <c r="B72" s="180" t="s">
        <v>251</v>
      </c>
      <c r="C72" s="192" t="s">
        <v>252</v>
      </c>
      <c r="D72" s="207">
        <v>2013</v>
      </c>
      <c r="E72" s="162">
        <f>+D72+1</f>
        <v>2014</v>
      </c>
      <c r="F72" s="162">
        <f t="shared" ref="F72:I72" si="17">+E72+1</f>
        <v>2015</v>
      </c>
      <c r="G72" s="162">
        <f t="shared" si="17"/>
        <v>2016</v>
      </c>
      <c r="H72" s="162">
        <f t="shared" si="17"/>
        <v>2017</v>
      </c>
      <c r="I72" s="208">
        <f t="shared" si="17"/>
        <v>2018</v>
      </c>
      <c r="J72" s="208">
        <f t="shared" ref="J72" si="18">+I72+1</f>
        <v>2019</v>
      </c>
      <c r="K72" s="208">
        <f t="shared" ref="K72:O72" si="19">+J72+1</f>
        <v>2020</v>
      </c>
      <c r="L72" s="208">
        <f t="shared" si="19"/>
        <v>2021</v>
      </c>
      <c r="M72" s="208">
        <f t="shared" si="19"/>
        <v>2022</v>
      </c>
      <c r="N72" s="208">
        <f t="shared" si="19"/>
        <v>2023</v>
      </c>
      <c r="O72" s="344">
        <f t="shared" si="19"/>
        <v>2024</v>
      </c>
    </row>
    <row r="73" spans="2:17" x14ac:dyDescent="0.3">
      <c r="B73" s="165" t="s">
        <v>253</v>
      </c>
      <c r="C73" s="165" t="s">
        <v>254</v>
      </c>
      <c r="D73" s="210"/>
      <c r="E73" s="186"/>
      <c r="F73" s="186">
        <v>30</v>
      </c>
      <c r="G73" s="186">
        <f>+F73</f>
        <v>30</v>
      </c>
      <c r="H73" s="205">
        <f>+G73</f>
        <v>30</v>
      </c>
      <c r="I73" s="186">
        <v>48</v>
      </c>
      <c r="J73" s="186">
        <f>+I73</f>
        <v>48</v>
      </c>
      <c r="K73" s="186">
        <v>66.05</v>
      </c>
      <c r="L73" s="186">
        <v>66.05</v>
      </c>
      <c r="M73" s="186">
        <v>66.05</v>
      </c>
      <c r="N73" s="186">
        <v>65.8</v>
      </c>
      <c r="O73" s="350">
        <v>68.900000000000006</v>
      </c>
    </row>
    <row r="74" spans="2:17" x14ac:dyDescent="0.3">
      <c r="B74" s="168" t="s">
        <v>255</v>
      </c>
      <c r="C74" s="168" t="s">
        <v>256</v>
      </c>
      <c r="D74" s="211"/>
      <c r="E74" s="188"/>
      <c r="F74" s="188"/>
      <c r="G74" s="188"/>
      <c r="H74" s="206"/>
      <c r="I74" s="188">
        <v>6</v>
      </c>
      <c r="J74" s="188">
        <v>6</v>
      </c>
      <c r="K74" s="188">
        <v>6</v>
      </c>
      <c r="L74" s="188">
        <v>11</v>
      </c>
      <c r="M74" s="188">
        <v>11</v>
      </c>
      <c r="N74" s="188">
        <v>11</v>
      </c>
      <c r="O74" s="351">
        <v>19</v>
      </c>
    </row>
    <row r="75" spans="2:17" x14ac:dyDescent="0.3">
      <c r="B75" s="168" t="s">
        <v>257</v>
      </c>
      <c r="C75" s="168" t="s">
        <v>258</v>
      </c>
      <c r="D75" s="211"/>
      <c r="E75" s="188"/>
      <c r="F75" s="188"/>
      <c r="G75" s="188">
        <v>0</v>
      </c>
      <c r="H75" s="206">
        <v>1.8</v>
      </c>
      <c r="I75" s="188">
        <v>5.8</v>
      </c>
      <c r="J75" s="188">
        <f>2+2+1.8+0.5</f>
        <v>6.3</v>
      </c>
      <c r="K75" s="188">
        <v>6.3</v>
      </c>
      <c r="L75" s="188">
        <v>6.3</v>
      </c>
      <c r="M75" s="188">
        <v>6.3</v>
      </c>
      <c r="N75" s="188">
        <v>6.3</v>
      </c>
      <c r="O75" s="351">
        <v>6.3</v>
      </c>
    </row>
    <row r="76" spans="2:17" ht="15" thickBot="1" x14ac:dyDescent="0.35">
      <c r="B76" s="168" t="s">
        <v>342</v>
      </c>
      <c r="C76" s="168" t="s">
        <v>399</v>
      </c>
      <c r="D76" s="211"/>
      <c r="E76" s="188"/>
      <c r="F76" s="188"/>
      <c r="G76" s="188"/>
      <c r="H76" s="206"/>
      <c r="I76" s="188"/>
      <c r="J76" s="188"/>
      <c r="K76" s="188"/>
      <c r="L76" s="188"/>
      <c r="M76" s="188"/>
      <c r="N76" s="188">
        <v>4.5</v>
      </c>
      <c r="O76" s="351">
        <v>17.100000000000001</v>
      </c>
    </row>
    <row r="77" spans="2:17" ht="15" thickBot="1" x14ac:dyDescent="0.35">
      <c r="B77" s="177" t="s">
        <v>223</v>
      </c>
      <c r="C77" s="177" t="s">
        <v>224</v>
      </c>
      <c r="D77" s="209"/>
      <c r="E77" s="179">
        <f t="shared" ref="E77:I77" si="20">SUM(E73:E75)</f>
        <v>0</v>
      </c>
      <c r="F77" s="179">
        <f t="shared" si="20"/>
        <v>30</v>
      </c>
      <c r="G77" s="179">
        <f t="shared" si="20"/>
        <v>30</v>
      </c>
      <c r="H77" s="179">
        <f t="shared" si="20"/>
        <v>31.8</v>
      </c>
      <c r="I77" s="179">
        <f t="shared" si="20"/>
        <v>59.8</v>
      </c>
      <c r="J77" s="179">
        <f>SUM(J73:J75)</f>
        <v>60.3</v>
      </c>
      <c r="K77" s="179">
        <f>SUM(K73:K75)</f>
        <v>78.349999999999994</v>
      </c>
      <c r="L77" s="179">
        <f>SUM(L73:L75)</f>
        <v>83.35</v>
      </c>
      <c r="M77" s="179">
        <f>SUM(M73:M75)</f>
        <v>83.35</v>
      </c>
      <c r="N77" s="179">
        <f>SUM(N73:N76)</f>
        <v>87.6</v>
      </c>
      <c r="O77" s="348">
        <f>SUM(O73:O76)</f>
        <v>111.30000000000001</v>
      </c>
    </row>
    <row r="78" spans="2:17" x14ac:dyDescent="0.3">
      <c r="B78" s="182"/>
      <c r="C78" s="182"/>
      <c r="D78" s="29"/>
      <c r="E78" s="29"/>
      <c r="F78" s="29"/>
      <c r="G78" s="29"/>
      <c r="H78" s="29"/>
      <c r="I78" s="191"/>
      <c r="J78" s="191"/>
      <c r="K78" s="191"/>
      <c r="L78" s="191"/>
      <c r="M78" s="191"/>
      <c r="N78" s="191"/>
      <c r="O78" s="342"/>
    </row>
    <row r="79" spans="2:17" x14ac:dyDescent="0.3">
      <c r="B79" s="182"/>
      <c r="C79" s="182"/>
      <c r="D79" s="29"/>
      <c r="E79" s="29"/>
      <c r="F79" s="29"/>
      <c r="G79" s="29"/>
      <c r="H79" s="29"/>
      <c r="I79" s="191"/>
      <c r="J79" s="191"/>
      <c r="K79" s="191"/>
      <c r="L79" s="191"/>
      <c r="M79" s="342"/>
      <c r="N79" s="342"/>
      <c r="O79" s="342"/>
    </row>
    <row r="80" spans="2:17" x14ac:dyDescent="0.3">
      <c r="B80" s="182"/>
      <c r="C80" s="182"/>
      <c r="D80" s="29"/>
      <c r="E80" s="29"/>
      <c r="F80" s="29"/>
      <c r="G80" s="29"/>
      <c r="H80" s="29"/>
      <c r="I80" s="191"/>
      <c r="J80" s="191"/>
      <c r="K80" s="191"/>
      <c r="L80" s="191"/>
      <c r="M80" s="342"/>
      <c r="N80" s="342"/>
      <c r="O80" s="342"/>
    </row>
    <row r="82" spans="3:15" ht="15" thickBot="1" x14ac:dyDescent="0.35"/>
    <row r="83" spans="3:15" x14ac:dyDescent="0.3">
      <c r="C83" s="265" t="s">
        <v>216</v>
      </c>
      <c r="G83" s="191"/>
      <c r="J83" s="191"/>
      <c r="K83" s="191"/>
      <c r="L83" s="191"/>
      <c r="M83" s="342"/>
      <c r="N83" s="342"/>
      <c r="O83" s="342"/>
    </row>
    <row r="84" spans="3:15" x14ac:dyDescent="0.3">
      <c r="C84" s="266" t="s">
        <v>219</v>
      </c>
      <c r="G84" s="191"/>
      <c r="J84" s="191"/>
      <c r="K84" s="191"/>
      <c r="L84" s="191"/>
      <c r="M84" s="342"/>
      <c r="N84" s="342"/>
      <c r="O84" s="342"/>
    </row>
    <row r="85" spans="3:15" x14ac:dyDescent="0.3">
      <c r="C85" s="266" t="s">
        <v>222</v>
      </c>
      <c r="G85" s="191"/>
      <c r="J85" s="191"/>
      <c r="K85" s="191"/>
      <c r="L85" s="191"/>
      <c r="M85" s="342"/>
      <c r="N85" s="342"/>
      <c r="O85" s="342"/>
    </row>
    <row r="86" spans="3:15" x14ac:dyDescent="0.3">
      <c r="C86" s="266" t="s">
        <v>225</v>
      </c>
    </row>
    <row r="87" spans="3:15" x14ac:dyDescent="0.3">
      <c r="C87" s="266" t="s">
        <v>226</v>
      </c>
    </row>
    <row r="88" spans="3:15" x14ac:dyDescent="0.3">
      <c r="C88" s="168" t="s">
        <v>227</v>
      </c>
    </row>
    <row r="89" spans="3:15" x14ac:dyDescent="0.3">
      <c r="C89" s="168" t="s">
        <v>228</v>
      </c>
    </row>
    <row r="90" spans="3:15" x14ac:dyDescent="0.3">
      <c r="C90" s="168" t="s">
        <v>376</v>
      </c>
    </row>
    <row r="91" spans="3:15" x14ac:dyDescent="0.3">
      <c r="C91" s="168" t="s">
        <v>377</v>
      </c>
    </row>
    <row r="92" spans="3:15" x14ac:dyDescent="0.3">
      <c r="C92" s="168" t="s">
        <v>378</v>
      </c>
    </row>
    <row r="93" spans="3:15" x14ac:dyDescent="0.3">
      <c r="C93" s="168" t="s">
        <v>379</v>
      </c>
    </row>
    <row r="94" spans="3:15" x14ac:dyDescent="0.3">
      <c r="C94" s="168" t="s">
        <v>380</v>
      </c>
    </row>
    <row r="95" spans="3:15" x14ac:dyDescent="0.3">
      <c r="C95" s="168" t="s">
        <v>381</v>
      </c>
    </row>
    <row r="96" spans="3:15" x14ac:dyDescent="0.3">
      <c r="C96" s="168" t="s">
        <v>382</v>
      </c>
    </row>
    <row r="97" spans="3:3" ht="15" thickBot="1" x14ac:dyDescent="0.35">
      <c r="C97" s="267" t="s">
        <v>383</v>
      </c>
    </row>
    <row r="98" spans="3:3" x14ac:dyDescent="0.3">
      <c r="C98" s="168" t="s">
        <v>396</v>
      </c>
    </row>
    <row r="99" spans="3:3" x14ac:dyDescent="0.3">
      <c r="C99" s="168" t="s">
        <v>397</v>
      </c>
    </row>
    <row r="100" spans="3:3" ht="15" thickBot="1" x14ac:dyDescent="0.35">
      <c r="C100" s="174" t="s">
        <v>398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DC9D5-5BAD-4628-96E7-45E435E379D8}">
  <dimension ref="A2:L89"/>
  <sheetViews>
    <sheetView showGridLines="0" topLeftCell="B28" workbookViewId="0">
      <selection activeCell="L3" sqref="L3"/>
    </sheetView>
  </sheetViews>
  <sheetFormatPr defaultColWidth="8.77734375" defaultRowHeight="14.4" outlineLevelRow="2" x14ac:dyDescent="0.3"/>
  <cols>
    <col min="1" max="1" width="13.77734375" customWidth="1"/>
    <col min="2" max="2" width="46.33203125" bestFit="1" customWidth="1"/>
    <col min="3" max="3" width="33.44140625" customWidth="1"/>
  </cols>
  <sheetData>
    <row r="2" spans="1:12" x14ac:dyDescent="0.3">
      <c r="D2" s="361"/>
    </row>
    <row r="3" spans="1:12" x14ac:dyDescent="0.3">
      <c r="C3" s="4" t="s">
        <v>343</v>
      </c>
      <c r="D3">
        <v>311.02</v>
      </c>
      <c r="E3">
        <v>310.14</v>
      </c>
      <c r="F3">
        <v>321.51</v>
      </c>
      <c r="G3">
        <v>330.52</v>
      </c>
      <c r="H3">
        <v>365.13</v>
      </c>
      <c r="I3">
        <v>369</v>
      </c>
      <c r="J3" s="288">
        <v>400.25</v>
      </c>
      <c r="K3" s="288">
        <v>382.78</v>
      </c>
      <c r="L3" s="288">
        <v>410.09</v>
      </c>
    </row>
    <row r="4" spans="1:12" x14ac:dyDescent="0.3">
      <c r="A4" s="1" t="s">
        <v>0</v>
      </c>
      <c r="B4" s="112" t="s">
        <v>0</v>
      </c>
      <c r="C4" s="112" t="s">
        <v>1</v>
      </c>
      <c r="D4" s="2">
        <v>2016</v>
      </c>
      <c r="E4" s="2">
        <v>2017</v>
      </c>
      <c r="F4" s="2">
        <v>2018</v>
      </c>
      <c r="G4" s="2">
        <v>2019</v>
      </c>
      <c r="H4" s="2">
        <v>2020</v>
      </c>
      <c r="I4" s="2">
        <v>2021</v>
      </c>
      <c r="J4" s="2">
        <v>2022</v>
      </c>
      <c r="K4" s="2">
        <v>2023</v>
      </c>
      <c r="L4" s="2">
        <v>2024</v>
      </c>
    </row>
    <row r="5" spans="1:12" x14ac:dyDescent="0.3">
      <c r="B5" s="112" t="s">
        <v>355</v>
      </c>
      <c r="C5" s="113" t="s">
        <v>303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</row>
    <row r="6" spans="1:12" x14ac:dyDescent="0.3">
      <c r="B6" s="114" t="s">
        <v>3</v>
      </c>
      <c r="C6" s="115" t="s">
        <v>4</v>
      </c>
      <c r="D6" s="8">
        <f>IFERROR('éves P&amp;L_mérleg'!D6/D$3*1000,0)</f>
        <v>21434.126422738093</v>
      </c>
      <c r="E6" s="8">
        <f>IFERROR('éves P&amp;L_mérleg'!E6/E$3*1000,0)</f>
        <v>24331.31811439995</v>
      </c>
      <c r="F6" s="8">
        <f>IFERROR('éves P&amp;L_mérleg'!F6/F$3*1000,0)</f>
        <v>42659.973251220807</v>
      </c>
      <c r="G6" s="8">
        <f>IFERROR('éves P&amp;L_mérleg'!G6/G$3*1000,0)</f>
        <v>74236.841946024448</v>
      </c>
      <c r="H6" s="8">
        <f>IFERROR('éves P&amp;L_mérleg'!H6/H$3*1000,0)</f>
        <v>85079.985210746861</v>
      </c>
      <c r="I6" s="8">
        <f>IFERROR('éves P&amp;L_mérleg'!I6/I$3*1000,0)</f>
        <v>85015.642276422761</v>
      </c>
      <c r="J6" s="8">
        <f>IFERROR('éves P&amp;L_mérleg'!J6/J$3*1000,0)</f>
        <v>87299.080574640844</v>
      </c>
      <c r="K6" s="8">
        <f>IFERROR('éves P&amp;L_mérleg'!K6/K$3*1000,0)</f>
        <v>113832.81780657297</v>
      </c>
      <c r="L6" s="8">
        <f>IFERROR('éves P&amp;L_mérleg'!L6/L$3*1000,0)</f>
        <v>146809.55400034142</v>
      </c>
    </row>
    <row r="7" spans="1:12" outlineLevel="1" x14ac:dyDescent="0.3">
      <c r="B7" t="s">
        <v>5</v>
      </c>
      <c r="C7" t="s">
        <v>6</v>
      </c>
      <c r="D7" s="5">
        <f>IFERROR('éves P&amp;L_mérleg'!D7/D$3*1000,0)</f>
        <v>16117.580862967014</v>
      </c>
      <c r="E7" s="5">
        <f>IFERROR('éves P&amp;L_mérleg'!E7/E$3*1000,0)</f>
        <v>18864.100083833109</v>
      </c>
      <c r="F7" s="5">
        <f>IFERROR('éves P&amp;L_mérleg'!F7/F$3*1000,0)</f>
        <v>33330.048832073648</v>
      </c>
      <c r="G7" s="5">
        <f>IFERROR('éves P&amp;L_mérleg'!G7/G$3*1000,0)</f>
        <v>53587.398644560082</v>
      </c>
      <c r="H7" s="5">
        <f>IFERROR('éves P&amp;L_mérleg'!H7/H$3*1000,0)</f>
        <v>69662.648919562896</v>
      </c>
      <c r="I7" s="5">
        <f>IFERROR('éves P&amp;L_mérleg'!I7/I$3*1000,0)</f>
        <v>69750.915989159897</v>
      </c>
      <c r="J7" s="5">
        <f>IFERROR('éves P&amp;L_mérleg'!J7/J$3*1000,0)</f>
        <v>69565.863835103053</v>
      </c>
      <c r="K7" s="5">
        <f>IFERROR('éves P&amp;L_mérleg'!K7/K$3*1000,0)</f>
        <v>91720.766497727149</v>
      </c>
      <c r="L7" s="5">
        <f>IFERROR('éves P&amp;L_mérleg'!L7/L$3*1000,0)</f>
        <v>117345.61437733182</v>
      </c>
    </row>
    <row r="8" spans="1:12" outlineLevel="2" x14ac:dyDescent="0.3">
      <c r="B8" t="s">
        <v>7</v>
      </c>
      <c r="C8" t="s">
        <v>8</v>
      </c>
      <c r="D8" s="5">
        <f>IFERROR('éves P&amp;L_mérleg'!D8/D$3*1000,0)</f>
        <v>102.27959616744904</v>
      </c>
      <c r="E8" s="5">
        <f>IFERROR('éves P&amp;L_mérleg'!E8/E$3*1000,0)</f>
        <v>108.68639969046237</v>
      </c>
      <c r="F8" s="5">
        <f>IFERROR('éves P&amp;L_mérleg'!F8/F$3*1000,0)</f>
        <v>118.52819507946876</v>
      </c>
      <c r="G8" s="5">
        <f>IFERROR('éves P&amp;L_mérleg'!G8/G$3*1000,0)</f>
        <v>221.18177417402882</v>
      </c>
      <c r="H8" s="5">
        <f>IFERROR('éves P&amp;L_mérleg'!H8/H$3*1000,0)</f>
        <v>239.28189959740368</v>
      </c>
      <c r="I8" s="5">
        <f>IFERROR('éves P&amp;L_mérleg'!I8/I$3*1000,0)</f>
        <v>0</v>
      </c>
      <c r="J8" s="5">
        <f>IFERROR('éves P&amp;L_mérleg'!J8/J$3*1000,0)</f>
        <v>0</v>
      </c>
      <c r="K8" s="5">
        <f>IFERROR('éves P&amp;L_mérleg'!K8/K$3*1000,0)</f>
        <v>0</v>
      </c>
      <c r="L8" s="5">
        <f>IFERROR('éves P&amp;L_mérleg'!L8/L$3*1000,0)</f>
        <v>0</v>
      </c>
    </row>
    <row r="9" spans="1:12" outlineLevel="2" x14ac:dyDescent="0.3">
      <c r="B9" t="s">
        <v>9</v>
      </c>
      <c r="C9" s="116" t="s">
        <v>10</v>
      </c>
      <c r="D9" s="5">
        <f>IFERROR('éves P&amp;L_mérleg'!D9/D$3*1000,0)</f>
        <v>2346.2188926757126</v>
      </c>
      <c r="E9" s="5">
        <f>IFERROR('éves P&amp;L_mérleg'!E9/E$3*1000,0)</f>
        <v>1554.433481653447</v>
      </c>
      <c r="F9" s="5">
        <f>IFERROR('éves P&amp;L_mérleg'!F9/F$3*1000,0)</f>
        <v>789.31292961338681</v>
      </c>
      <c r="G9" s="5">
        <f>IFERROR('éves P&amp;L_mérleg'!G9/G$3*1000,0)</f>
        <v>315.79329541328821</v>
      </c>
      <c r="H9" s="5">
        <f>IFERROR('éves P&amp;L_mérleg'!H9/H$3*1000,0)</f>
        <v>0</v>
      </c>
      <c r="I9" s="5">
        <f>IFERROR('éves P&amp;L_mérleg'!I9/I$3*1000,0)</f>
        <v>0</v>
      </c>
      <c r="J9" s="5">
        <f>IFERROR('éves P&amp;L_mérleg'!J9/J$3*1000,0)</f>
        <v>0</v>
      </c>
      <c r="K9" s="5">
        <f>IFERROR('éves P&amp;L_mérleg'!K9/K$3*1000,0)</f>
        <v>0</v>
      </c>
      <c r="L9" s="5">
        <f>IFERROR('éves P&amp;L_mérleg'!L9/L$3*1000,0)</f>
        <v>0</v>
      </c>
    </row>
    <row r="10" spans="1:12" outlineLevel="2" x14ac:dyDescent="0.3">
      <c r="B10" t="s">
        <v>12</v>
      </c>
      <c r="C10" t="s">
        <v>13</v>
      </c>
      <c r="D10" s="5">
        <f>IFERROR('éves P&amp;L_mérleg'!D10/D$3*1000,0)</f>
        <v>150.22828113947656</v>
      </c>
      <c r="E10" s="5">
        <f>IFERROR('éves P&amp;L_mérleg'!E10/E$3*1000,0)</f>
        <v>177.27800348229832</v>
      </c>
      <c r="F10" s="5">
        <f>IFERROR('éves P&amp;L_mérleg'!F10/F$3*1000,0)</f>
        <v>12.500388790395323</v>
      </c>
      <c r="G10" s="5">
        <f>IFERROR('éves P&amp;L_mérleg'!G10/G$3*1000,0)</f>
        <v>1035.0357013191335</v>
      </c>
      <c r="H10" s="5">
        <f>IFERROR('éves P&amp;L_mérleg'!H10/H$3*1000,0)</f>
        <v>0</v>
      </c>
      <c r="I10" s="5">
        <f>IFERROR('éves P&amp;L_mérleg'!I10/I$3*1000,0)</f>
        <v>0</v>
      </c>
      <c r="J10" s="5">
        <f>IFERROR('éves P&amp;L_mérleg'!J10/J$3*1000,0)</f>
        <v>0</v>
      </c>
      <c r="K10" s="5">
        <f>IFERROR('éves P&amp;L_mérleg'!K10/K$3*1000,0)</f>
        <v>0</v>
      </c>
      <c r="L10" s="5">
        <f>IFERROR('éves P&amp;L_mérleg'!L10/L$3*1000,0)</f>
        <v>0</v>
      </c>
    </row>
    <row r="11" spans="1:12" outlineLevel="1" x14ac:dyDescent="0.3">
      <c r="B11" t="s">
        <v>14</v>
      </c>
      <c r="C11" t="s">
        <v>15</v>
      </c>
      <c r="D11" s="5">
        <f>IFERROR('éves P&amp;L_mérleg'!D11/D$3*1000,0)</f>
        <v>702.26352003086618</v>
      </c>
      <c r="E11" s="5">
        <f>IFERROR('éves P&amp;L_mérleg'!E11/E$3*1000,0)</f>
        <v>1356.2294447668794</v>
      </c>
      <c r="F11" s="5">
        <f>IFERROR('éves P&amp;L_mérleg'!F11/F$3*1000,0)</f>
        <v>2701.3965350999965</v>
      </c>
      <c r="G11" s="5">
        <f>IFERROR('éves P&amp;L_mérleg'!G11/G$3*1000,0)</f>
        <v>10566.250151276776</v>
      </c>
      <c r="H11" s="5">
        <f>IFERROR('éves P&amp;L_mérleg'!H11/H$3*1000,0)</f>
        <v>8318.3222413934764</v>
      </c>
      <c r="I11" s="5">
        <f>IFERROR('éves P&amp;L_mérleg'!I11/I$3*1000,0)</f>
        <v>6820.6504065040654</v>
      </c>
      <c r="J11" s="5">
        <f>IFERROR('éves P&amp;L_mérleg'!J11/J$3*1000,0)</f>
        <v>6040.4122423485323</v>
      </c>
      <c r="K11" s="5">
        <f>IFERROR('éves P&amp;L_mérleg'!K11/K$3*1000,0)</f>
        <v>7067.689011965098</v>
      </c>
      <c r="L11" s="5">
        <f>IFERROR('éves P&amp;L_mérleg'!L11/L$3*1000,0)</f>
        <v>13507.100880294571</v>
      </c>
    </row>
    <row r="12" spans="1:12" outlineLevel="1" x14ac:dyDescent="0.3">
      <c r="B12" t="s">
        <v>16</v>
      </c>
      <c r="C12" t="s">
        <v>17</v>
      </c>
      <c r="D12" s="5">
        <f>IFERROR('éves P&amp;L_mérleg'!D12/D$3*1000,0)</f>
        <v>1182.7342293100123</v>
      </c>
      <c r="E12" s="5">
        <f>IFERROR('éves P&amp;L_mérleg'!E12/E$3*1000,0)</f>
        <v>914.55471722447919</v>
      </c>
      <c r="F12" s="5">
        <f>IFERROR('éves P&amp;L_mérleg'!F12/F$3*1000,0)</f>
        <v>4593.1137445180557</v>
      </c>
      <c r="G12" s="5">
        <f>IFERROR('éves P&amp;L_mérleg'!G12/G$3*1000,0)</f>
        <v>4259.1703981604742</v>
      </c>
      <c r="H12" s="5">
        <f>IFERROR('éves P&amp;L_mérleg'!H12/H$3*1000,0)</f>
        <v>3322.0688521896313</v>
      </c>
      <c r="I12" s="5">
        <f>IFERROR('éves P&amp;L_mérleg'!I12/I$3*1000,0)</f>
        <v>2851.5338753387528</v>
      </c>
      <c r="J12" s="5">
        <f>IFERROR('éves P&amp;L_mérleg'!J12/J$3*1000,0)</f>
        <v>2313.2042473454094</v>
      </c>
      <c r="K12" s="5">
        <f>IFERROR('éves P&amp;L_mérleg'!K12/K$3*1000,0)</f>
        <v>2088.6775693609911</v>
      </c>
      <c r="L12" s="5">
        <f>IFERROR('éves P&amp;L_mérleg'!L12/L$3*1000,0)</f>
        <v>0</v>
      </c>
    </row>
    <row r="13" spans="1:12" outlineLevel="1" x14ac:dyDescent="0.3">
      <c r="B13" s="63" t="s">
        <v>163</v>
      </c>
      <c r="C13" s="63" t="s">
        <v>183</v>
      </c>
      <c r="D13" s="5">
        <f>IFERROR('éves P&amp;L_mérleg'!D13/D$3*1000,0)</f>
        <v>0</v>
      </c>
      <c r="E13" s="5">
        <f>IFERROR('éves P&amp;L_mérleg'!E13/E$3*1000,0)</f>
        <v>0</v>
      </c>
      <c r="F13" s="5">
        <f>IFERROR('éves P&amp;L_mérleg'!F13/F$3*1000,0)</f>
        <v>0</v>
      </c>
      <c r="G13" s="5">
        <f>IFERROR('éves P&amp;L_mérleg'!G13/G$3*1000,0)</f>
        <v>2797.918431562387</v>
      </c>
      <c r="H13" s="5">
        <f>IFERROR('éves P&amp;L_mérleg'!H13/H$3*1000,0)</f>
        <v>2912.9762002574425</v>
      </c>
      <c r="I13" s="5">
        <f>IFERROR('éves P&amp;L_mérleg'!I13/I$3*1000,0)</f>
        <v>4787.2682926829266</v>
      </c>
      <c r="J13" s="5">
        <f>IFERROR('éves P&amp;L_mérleg'!J13/J$3*1000,0)</f>
        <v>5038.3010618363514</v>
      </c>
      <c r="K13" s="5">
        <f>IFERROR('éves P&amp;L_mérleg'!K13/K$3*1000,0)</f>
        <v>6352.9155128272114</v>
      </c>
      <c r="L13" s="5">
        <f>IFERROR('éves P&amp;L_mérleg'!L13/L$3*1000,0)</f>
        <v>7067.1120973444858</v>
      </c>
    </row>
    <row r="14" spans="1:12" outlineLevel="1" x14ac:dyDescent="0.3">
      <c r="B14" t="s">
        <v>18</v>
      </c>
      <c r="C14" t="s">
        <v>18</v>
      </c>
      <c r="D14" s="5">
        <f>IFERROR('éves P&amp;L_mérleg'!D14/D$3*1000,0)</f>
        <v>0</v>
      </c>
      <c r="E14" s="5">
        <f>IFERROR('éves P&amp;L_mérleg'!E14/E$3*1000,0)</f>
        <v>0</v>
      </c>
      <c r="F14" s="5">
        <f>IFERROR('éves P&amp;L_mérleg'!F14/F$3*1000,0)</f>
        <v>0</v>
      </c>
      <c r="G14" s="5">
        <f>IFERROR('éves P&amp;L_mérleg'!G14/G$3*1000,0)</f>
        <v>0</v>
      </c>
      <c r="H14" s="5">
        <f>IFERROR('éves P&amp;L_mérleg'!H14/H$3*1000,0)</f>
        <v>0</v>
      </c>
      <c r="I14" s="5">
        <f>IFERROR('éves P&amp;L_mérleg'!I14/I$3*1000,0)</f>
        <v>0</v>
      </c>
      <c r="J14" s="5">
        <f>IFERROR('éves P&amp;L_mérleg'!J14/J$3*1000,0)</f>
        <v>1838.633354153654</v>
      </c>
      <c r="K14" s="5">
        <f>IFERROR('éves P&amp;L_mérleg'!K14/K$3*1000,0)</f>
        <v>2662.5764146507136</v>
      </c>
      <c r="L14" s="5">
        <f>IFERROR('éves P&amp;L_mérleg'!L14/L$3*1000,0)</f>
        <v>5556.236435904314</v>
      </c>
    </row>
    <row r="15" spans="1:12" outlineLevel="1" x14ac:dyDescent="0.3">
      <c r="B15" t="s">
        <v>20</v>
      </c>
      <c r="C15" t="s">
        <v>21</v>
      </c>
      <c r="D15" s="5">
        <f>IFERROR('éves P&amp;L_mérleg'!D15/D$3*1000,0)</f>
        <v>234.35791910488075</v>
      </c>
      <c r="E15" s="5">
        <f>IFERROR('éves P&amp;L_mérleg'!E15/E$3*1000,0)</f>
        <v>757.31927516605413</v>
      </c>
      <c r="F15" s="5">
        <f>IFERROR('éves P&amp;L_mérleg'!F15/F$3*1000,0)</f>
        <v>434.68632390905412</v>
      </c>
      <c r="G15" s="5">
        <f>IFERROR('éves P&amp;L_mérleg'!G15/G$3*1000,0)</f>
        <v>867.89301706402034</v>
      </c>
      <c r="H15" s="5">
        <f>IFERROR('éves P&amp;L_mérleg'!H15/H$3*1000,0)</f>
        <v>363.73620354394325</v>
      </c>
      <c r="I15" s="5">
        <f>IFERROR('éves P&amp;L_mérleg'!I15/I$3*1000,0)</f>
        <v>193.48238482384821</v>
      </c>
      <c r="J15" s="5">
        <f>IFERROR('éves P&amp;L_mérleg'!J15/J$3*1000,0)</f>
        <v>79.925046845721425</v>
      </c>
      <c r="K15" s="5">
        <f>IFERROR('éves P&amp;L_mérleg'!K15/K$3*1000,0)</f>
        <v>876.5792361147395</v>
      </c>
      <c r="L15" s="5">
        <f>IFERROR('éves P&amp;L_mérleg'!L15/L$3*1000,0)</f>
        <v>0</v>
      </c>
    </row>
    <row r="16" spans="1:12" outlineLevel="1" x14ac:dyDescent="0.3">
      <c r="B16" t="s">
        <v>22</v>
      </c>
      <c r="C16" t="s">
        <v>23</v>
      </c>
      <c r="D16" s="5">
        <f>IFERROR('éves P&amp;L_mérleg'!D16/D$3*1000,0)</f>
        <v>598.14159861102178</v>
      </c>
      <c r="E16" s="5">
        <f>IFERROR('éves P&amp;L_mérleg'!E16/E$3*1000,0)</f>
        <v>598.39427355387897</v>
      </c>
      <c r="F16" s="5">
        <f>IFERROR('éves P&amp;L_mérleg'!F16/F$3*1000,0)</f>
        <v>680.07526982053446</v>
      </c>
      <c r="G16" s="5">
        <f>IFERROR('éves P&amp;L_mérleg'!G16/G$3*1000,0)</f>
        <v>585.89797894227286</v>
      </c>
      <c r="H16" s="5">
        <f>IFERROR('éves P&amp;L_mérleg'!H16/H$3*1000,0)</f>
        <v>260.67701914386652</v>
      </c>
      <c r="I16" s="5">
        <f>IFERROR('éves P&amp;L_mérleg'!I16/I$3*1000,0)</f>
        <v>611.52032520325201</v>
      </c>
      <c r="J16" s="5">
        <f>IFERROR('éves P&amp;L_mérleg'!J16/J$3*1000,0)</f>
        <v>2422.4909431605247</v>
      </c>
      <c r="K16" s="5">
        <f>IFERROR('éves P&amp;L_mérleg'!K16/K$3*1000,0)</f>
        <v>3063.6135639270601</v>
      </c>
      <c r="L16" s="5">
        <f>IFERROR('éves P&amp;L_mérleg'!L16/L$3*1000,0)</f>
        <v>3333.4902094662148</v>
      </c>
    </row>
    <row r="17" spans="2:12" outlineLevel="1" x14ac:dyDescent="0.3">
      <c r="B17" t="s">
        <v>24</v>
      </c>
      <c r="C17" t="s">
        <v>180</v>
      </c>
      <c r="D17" s="5">
        <f>IFERROR('éves P&amp;L_mérleg'!D17/D$3*1000,0)</f>
        <v>0.32152273165712819</v>
      </c>
      <c r="E17" s="5">
        <f>IFERROR('éves P&amp;L_mérleg'!E17/E$3*1000,0)</f>
        <v>0.32243502934158769</v>
      </c>
      <c r="F17" s="5">
        <f>IFERROR('éves P&amp;L_mérleg'!F17/F$3*1000,0)</f>
        <v>0.3110323162576592</v>
      </c>
      <c r="G17" s="5">
        <f>IFERROR('éves P&amp;L_mérleg'!G17/G$3*1000,0)</f>
        <v>0.30255355197870026</v>
      </c>
      <c r="H17" s="5">
        <f>IFERROR('éves P&amp;L_mérleg'!H17/H$3*1000,0)</f>
        <v>0.27387505819844987</v>
      </c>
      <c r="I17" s="5">
        <f>IFERROR('éves P&amp;L_mérleg'!I17/I$3*1000,0)</f>
        <v>0.27100271002710025</v>
      </c>
      <c r="J17" s="5">
        <f>IFERROR('éves P&amp;L_mérleg'!J17/J$3*1000,0)</f>
        <v>0.24984384759525297</v>
      </c>
      <c r="K17" s="5">
        <f>IFERROR('éves P&amp;L_mérleg'!K17/K$3*1000,0)</f>
        <v>0</v>
      </c>
      <c r="L17" s="5">
        <f>IFERROR('éves P&amp;L_mérleg'!L17/L$3*1000,0)</f>
        <v>0</v>
      </c>
    </row>
    <row r="18" spans="2:12" outlineLevel="1" collapsed="1" x14ac:dyDescent="0.3">
      <c r="D18" s="7"/>
      <c r="E18" s="7"/>
      <c r="F18" s="7"/>
      <c r="G18" s="7"/>
      <c r="H18" s="7"/>
      <c r="I18" s="7"/>
      <c r="J18" s="7"/>
      <c r="K18" s="7"/>
      <c r="L18" s="7"/>
    </row>
    <row r="19" spans="2:12" x14ac:dyDescent="0.3">
      <c r="B19" s="115" t="s">
        <v>25</v>
      </c>
      <c r="C19" s="115" t="s">
        <v>26</v>
      </c>
      <c r="D19" s="8">
        <f>IFERROR('éves P&amp;L_mérleg'!D19/D$3*1000,0)</f>
        <v>30484.827342293102</v>
      </c>
      <c r="E19" s="8">
        <f>IFERROR('éves P&amp;L_mérleg'!E19/E$3*1000,0)</f>
        <v>29360.949893596437</v>
      </c>
      <c r="F19" s="8">
        <f>IFERROR('éves P&amp;L_mérleg'!F19/F$3*1000,0)</f>
        <v>28439.208733787444</v>
      </c>
      <c r="G19" s="8">
        <f>IFERROR('éves P&amp;L_mérleg'!G19/G$3*1000,0)</f>
        <v>39446.163620960913</v>
      </c>
      <c r="H19" s="8">
        <f>IFERROR('éves P&amp;L_mérleg'!H19/H$3*1000,0)</f>
        <v>37847.08186125489</v>
      </c>
      <c r="I19" s="8">
        <f>IFERROR('éves P&amp;L_mérleg'!I19/I$3*1000,0)</f>
        <v>79647.631436314376</v>
      </c>
      <c r="J19" s="8">
        <f>IFERROR('éves P&amp;L_mérleg'!J19/J$3*1000,0)</f>
        <v>162595.72017489071</v>
      </c>
      <c r="K19" s="8">
        <f>IFERROR('éves P&amp;L_mérleg'!K19/K$3*1000,0)</f>
        <v>126456.06614765663</v>
      </c>
      <c r="L19" s="8">
        <f>IFERROR('éves P&amp;L_mérleg'!L19/L$3*1000,0)</f>
        <v>92317.291326294246</v>
      </c>
    </row>
    <row r="20" spans="2:12" outlineLevel="1" x14ac:dyDescent="0.3">
      <c r="B20" t="s">
        <v>27</v>
      </c>
      <c r="C20" t="s">
        <v>28</v>
      </c>
      <c r="D20" s="5">
        <f>IFERROR('éves P&amp;L_mérleg'!D20/D$3*1000,0)</f>
        <v>177.55128287569931</v>
      </c>
      <c r="E20" s="5">
        <f>IFERROR('éves P&amp;L_mérleg'!E20/E$3*1000,0)</f>
        <v>977.85193783452644</v>
      </c>
      <c r="F20" s="5">
        <f>IFERROR('éves P&amp;L_mérleg'!F20/F$3*1000,0)</f>
        <v>662.9467201642251</v>
      </c>
      <c r="G20" s="5">
        <f>IFERROR('éves P&amp;L_mérleg'!G20/G$3*1000,0)</f>
        <v>705.44898947113643</v>
      </c>
      <c r="H20" s="5">
        <f>IFERROR('éves P&amp;L_mérleg'!H20/H$3*1000,0)</f>
        <v>1212.2312600991427</v>
      </c>
      <c r="I20" s="5">
        <f>IFERROR('éves P&amp;L_mérleg'!I20/I$3*1000,0)</f>
        <v>2918.1002710027101</v>
      </c>
      <c r="J20" s="5">
        <f>IFERROR('éves P&amp;L_mérleg'!J20/J$3*1000,0)</f>
        <v>4445.0543410368518</v>
      </c>
      <c r="K20" s="5">
        <f>IFERROR('éves P&amp;L_mérleg'!K20/K$3*1000,0)</f>
        <v>2586.0912273368517</v>
      </c>
      <c r="L20" s="5">
        <f>IFERROR('éves P&amp;L_mérleg'!L20/L$3*1000,0)</f>
        <v>3168.8873174181281</v>
      </c>
    </row>
    <row r="21" spans="2:12" outlineLevel="1" x14ac:dyDescent="0.3">
      <c r="B21" t="s">
        <v>29</v>
      </c>
      <c r="C21" t="s">
        <v>30</v>
      </c>
      <c r="D21" s="5">
        <f>IFERROR('éves P&amp;L_mérleg'!D21/D$3*1000,0)</f>
        <v>11361.809529933767</v>
      </c>
      <c r="E21" s="5">
        <f>IFERROR('éves P&amp;L_mérleg'!E21/E$3*1000,0)</f>
        <v>11930.050944734638</v>
      </c>
      <c r="F21" s="5">
        <f>IFERROR('éves P&amp;L_mérleg'!F21/F$3*1000,0)</f>
        <v>10324.979005318653</v>
      </c>
      <c r="G21" s="5">
        <f>IFERROR('éves P&amp;L_mérleg'!G21/G$3*1000,0)</f>
        <v>8834.0675299528011</v>
      </c>
      <c r="H21" s="5">
        <f>IFERROR('éves P&amp;L_mérleg'!H21/H$3*1000,0)</f>
        <v>8937.1566291457839</v>
      </c>
      <c r="I21" s="5">
        <f>IFERROR('éves P&amp;L_mérleg'!I21/I$3*1000,0)</f>
        <v>11992.804878048782</v>
      </c>
      <c r="J21" s="5">
        <f>IFERROR('éves P&amp;L_mérleg'!J21/J$3*1000,0)</f>
        <v>61367.987507807622</v>
      </c>
      <c r="K21" s="5">
        <f>IFERROR('éves P&amp;L_mérleg'!K21/K$3*1000,0)</f>
        <v>28381.211139557974</v>
      </c>
      <c r="L21" s="5">
        <f>IFERROR('éves P&amp;L_mérleg'!L21/L$3*1000,0)</f>
        <v>31906.51076592943</v>
      </c>
    </row>
    <row r="22" spans="2:12" outlineLevel="1" x14ac:dyDescent="0.3">
      <c r="B22" s="63" t="s">
        <v>186</v>
      </c>
      <c r="C22" t="s">
        <v>179</v>
      </c>
      <c r="D22" s="5">
        <f>IFERROR('éves P&amp;L_mérleg'!D22/D$3*1000,0)</f>
        <v>879.04957880522147</v>
      </c>
      <c r="E22" s="5">
        <f>IFERROR('éves P&amp;L_mérleg'!E22/E$3*1000,0)</f>
        <v>2817.917714580512</v>
      </c>
      <c r="F22" s="5">
        <f>IFERROR('éves P&amp;L_mérleg'!F22/F$3*1000,0)</f>
        <v>892.66274765948185</v>
      </c>
      <c r="G22" s="5">
        <f>IFERROR('éves P&amp;L_mérleg'!G22/G$3*1000,0)</f>
        <v>486.54846907902697</v>
      </c>
      <c r="H22" s="5">
        <f>IFERROR('éves P&amp;L_mérleg'!H22/H$3*1000,0)</f>
        <v>353.15914879631913</v>
      </c>
      <c r="I22" s="5">
        <f>IFERROR('éves P&amp;L_mérleg'!I22/I$3*1000,0)</f>
        <v>0</v>
      </c>
      <c r="J22" s="5">
        <f>IFERROR('éves P&amp;L_mérleg'!J22/J$3*1000,0)</f>
        <v>0</v>
      </c>
      <c r="K22" s="5">
        <f>IFERROR('éves P&amp;L_mérleg'!K22/K$3*1000,0)</f>
        <v>0</v>
      </c>
      <c r="L22" s="5">
        <f>IFERROR('éves P&amp;L_mérleg'!L22/L$3*1000,0)</f>
        <v>0</v>
      </c>
    </row>
    <row r="23" spans="2:12" outlineLevel="1" x14ac:dyDescent="0.3">
      <c r="B23" t="s">
        <v>12</v>
      </c>
      <c r="C23" t="s">
        <v>13</v>
      </c>
      <c r="D23" s="5">
        <f>IFERROR('éves P&amp;L_mérleg'!D23/D$3*1000,0)</f>
        <v>0</v>
      </c>
      <c r="E23" s="5">
        <f>IFERROR('éves P&amp;L_mérleg'!E23/E$3*1000,0)</f>
        <v>0</v>
      </c>
      <c r="F23" s="5">
        <f>IFERROR('éves P&amp;L_mérleg'!F23/F$3*1000,0)</f>
        <v>0</v>
      </c>
      <c r="G23" s="5">
        <f>IFERROR('éves P&amp;L_mérleg'!G23/G$3*1000,0)</f>
        <v>0</v>
      </c>
      <c r="H23" s="5">
        <f>IFERROR('éves P&amp;L_mérleg'!H23/H$3*1000,0)</f>
        <v>2310.1032508969406</v>
      </c>
      <c r="I23" s="5">
        <f>IFERROR('éves P&amp;L_mérleg'!I23/I$3*1000,0)</f>
        <v>6491.9376693766935</v>
      </c>
      <c r="J23" s="5">
        <f>IFERROR('éves P&amp;L_mérleg'!J23/J$3*1000,0)</f>
        <v>3800.9743910056213</v>
      </c>
      <c r="K23" s="5">
        <f>IFERROR('éves P&amp;L_mérleg'!K23/K$3*1000,0)</f>
        <v>2746.2197606980517</v>
      </c>
      <c r="L23" s="5">
        <f>IFERROR('éves P&amp;L_mérleg'!L23/L$3*1000,0)</f>
        <v>3869.1945670462587</v>
      </c>
    </row>
    <row r="24" spans="2:12" outlineLevel="1" x14ac:dyDescent="0.3">
      <c r="B24" t="s">
        <v>31</v>
      </c>
      <c r="C24" t="s">
        <v>32</v>
      </c>
      <c r="D24" s="5">
        <f>IFERROR('éves P&amp;L_mérleg'!D24/D$3*1000,0)</f>
        <v>4100.9581377403383</v>
      </c>
      <c r="E24" s="5">
        <f>IFERROR('éves P&amp;L_mérleg'!E24/E$3*1000,0)</f>
        <v>856.88076352614951</v>
      </c>
      <c r="F24" s="5">
        <f>IFERROR('éves P&amp;L_mérleg'!F24/F$3*1000,0)</f>
        <v>2847.1929333457747</v>
      </c>
      <c r="G24" s="5">
        <f>IFERROR('éves P&amp;L_mérleg'!G24/G$3*1000,0)</f>
        <v>1092.1789906813508</v>
      </c>
      <c r="H24" s="5">
        <f>IFERROR('éves P&amp;L_mérleg'!H24/H$3*1000,0)</f>
        <v>4648.1034152219754</v>
      </c>
      <c r="I24" s="5">
        <f>IFERROR('éves P&amp;L_mérleg'!I24/I$3*1000,0)</f>
        <v>23379.772357723577</v>
      </c>
      <c r="J24" s="5">
        <f>IFERROR('éves P&amp;L_mérleg'!J24/J$3*1000,0)</f>
        <v>21237.361648969396</v>
      </c>
      <c r="K24" s="5">
        <f>IFERROR('éves P&amp;L_mérleg'!K24/K$3*1000,0)</f>
        <v>10879.505198808716</v>
      </c>
      <c r="L24" s="5">
        <f>IFERROR('éves P&amp;L_mérleg'!L24/L$3*1000,0)</f>
        <v>8246.8897071374595</v>
      </c>
    </row>
    <row r="25" spans="2:12" outlineLevel="1" x14ac:dyDescent="0.3">
      <c r="B25" t="s">
        <v>33</v>
      </c>
      <c r="C25" s="116" t="s">
        <v>34</v>
      </c>
      <c r="D25" s="5">
        <f>IFERROR('éves P&amp;L_mérleg'!D25/D$3*1000,0)</f>
        <v>1155.7745482605621</v>
      </c>
      <c r="E25" s="5">
        <f>IFERROR('éves P&amp;L_mérleg'!E25/E$3*1000,0)</f>
        <v>3255.4652737473398</v>
      </c>
      <c r="F25" s="5">
        <f>IFERROR('éves P&amp;L_mérleg'!F25/F$3*1000,0)</f>
        <v>5147.4635314609186</v>
      </c>
      <c r="G25" s="5">
        <f>IFERROR('éves P&amp;L_mérleg'!G25/G$3*1000,0)</f>
        <v>13302.057364153456</v>
      </c>
      <c r="H25" s="5">
        <f>IFERROR('éves P&amp;L_mérleg'!H25/H$3*1000,0)</f>
        <v>10669.632733546956</v>
      </c>
      <c r="I25" s="5">
        <f>IFERROR('éves P&amp;L_mérleg'!I25/I$3*1000,0)</f>
        <v>24812.243902439026</v>
      </c>
      <c r="J25" s="5">
        <f>IFERROR('éves P&amp;L_mérleg'!J25/J$3*1000,0)</f>
        <v>30124.224859462836</v>
      </c>
      <c r="K25" s="5">
        <f>IFERROR('éves P&amp;L_mérleg'!K25/K$3*1000,0)</f>
        <v>17835.36234913005</v>
      </c>
      <c r="L25" s="5">
        <f>IFERROR('éves P&amp;L_mérleg'!L25/L$3*1000,0)</f>
        <v>19949.625691921286</v>
      </c>
    </row>
    <row r="26" spans="2:12" outlineLevel="1" x14ac:dyDescent="0.3">
      <c r="B26" t="s">
        <v>35</v>
      </c>
      <c r="C26" t="s">
        <v>36</v>
      </c>
      <c r="D26" s="5">
        <f>IFERROR('éves P&amp;L_mérleg'!D26/D$3*1000,0)</f>
        <v>221.77673461513731</v>
      </c>
      <c r="E26" s="5">
        <f>IFERROR('éves P&amp;L_mérleg'!E26/E$3*1000,0)</f>
        <v>411.74308376862064</v>
      </c>
      <c r="F26" s="5">
        <f>IFERROR('éves P&amp;L_mérleg'!F26/F$3*1000,0)</f>
        <v>597.74812603029443</v>
      </c>
      <c r="G26" s="5">
        <f>IFERROR('éves P&amp;L_mérleg'!G26/G$3*1000,0)</f>
        <v>359.06147888176207</v>
      </c>
      <c r="H26" s="5">
        <f>IFERROR('éves P&amp;L_mérleg'!H26/H$3*1000,0)</f>
        <v>254.18891901514527</v>
      </c>
      <c r="I26" s="5">
        <f>IFERROR('éves P&amp;L_mérleg'!I26/I$3*1000,0)</f>
        <v>81.897018970189691</v>
      </c>
      <c r="J26" s="5">
        <f>IFERROR('éves P&amp;L_mérleg'!J26/J$3*1000,0)</f>
        <v>482.50843222985634</v>
      </c>
      <c r="K26" s="5">
        <f>IFERROR('éves P&amp;L_mérleg'!K26/K$3*1000,0)</f>
        <v>426.96588118501495</v>
      </c>
      <c r="L26" s="5">
        <f>IFERROR('éves P&amp;L_mérleg'!L26/L$3*1000,0)</f>
        <v>298.96608061645003</v>
      </c>
    </row>
    <row r="27" spans="2:12" x14ac:dyDescent="0.3">
      <c r="B27" t="s">
        <v>37</v>
      </c>
      <c r="C27" t="s">
        <v>38</v>
      </c>
      <c r="D27" s="5">
        <f>IFERROR('éves P&amp;L_mérleg'!D27/D$3*1000,0)</f>
        <v>12587.907530062375</v>
      </c>
      <c r="E27" s="5">
        <f>IFERROR('éves P&amp;L_mérleg'!E27/E$3*1000,0)</f>
        <v>9111.0401754046561</v>
      </c>
      <c r="F27" s="5">
        <f>IFERROR('éves P&amp;L_mérleg'!F27/F$3*1000,0)</f>
        <v>7966.2156698080926</v>
      </c>
      <c r="G27" s="5">
        <f>IFERROR('éves P&amp;L_mérleg'!G27/G$3*1000,0)</f>
        <v>14666.800798741378</v>
      </c>
      <c r="H27" s="5">
        <f>IFERROR('éves P&amp;L_mérleg'!H27/H$3*1000,0)</f>
        <v>9462.5065045326319</v>
      </c>
      <c r="I27" s="5">
        <f>IFERROR('éves P&amp;L_mérleg'!I27/I$3*1000,0)</f>
        <v>9970.875338753387</v>
      </c>
      <c r="J27" s="5">
        <f>IFERROR('éves P&amp;L_mérleg'!J27/J$3*1000,0)</f>
        <v>41137.608994378519</v>
      </c>
      <c r="K27" s="5">
        <f>IFERROR('éves P&amp;L_mérleg'!K27/K$3*1000,0)</f>
        <v>63600.710590939976</v>
      </c>
      <c r="L27" s="5">
        <f>IFERROR('éves P&amp;L_mérleg'!L27/L$3*1000,0)</f>
        <v>24877.217196225218</v>
      </c>
    </row>
    <row r="28" spans="2:12" ht="6.6" customHeight="1" thickBot="1" x14ac:dyDescent="0.35">
      <c r="D28" s="7"/>
      <c r="E28" s="7"/>
      <c r="F28" s="7"/>
      <c r="G28" s="7"/>
      <c r="H28" s="7"/>
      <c r="I28" s="7"/>
      <c r="J28" s="7"/>
      <c r="K28" s="7"/>
      <c r="L28" s="7"/>
    </row>
    <row r="29" spans="2:12" ht="15" thickBot="1" x14ac:dyDescent="0.35">
      <c r="B29" s="117" t="s">
        <v>41</v>
      </c>
      <c r="C29" s="117" t="s">
        <v>42</v>
      </c>
      <c r="D29" s="9">
        <f t="shared" ref="D29:K29" si="0">+D19+D6</f>
        <v>51918.953765031198</v>
      </c>
      <c r="E29" s="9">
        <f t="shared" si="0"/>
        <v>53692.26800799639</v>
      </c>
      <c r="F29" s="9">
        <f t="shared" si="0"/>
        <v>71099.181985008254</v>
      </c>
      <c r="G29" s="9">
        <f t="shared" si="0"/>
        <v>113683.00556698536</v>
      </c>
      <c r="H29" s="9">
        <f t="shared" si="0"/>
        <v>122927.06707200175</v>
      </c>
      <c r="I29" s="9">
        <f t="shared" si="0"/>
        <v>164663.27371273714</v>
      </c>
      <c r="J29" s="9">
        <f t="shared" si="0"/>
        <v>249894.80074953154</v>
      </c>
      <c r="K29" s="9">
        <f t="shared" si="0"/>
        <v>240288.88395422959</v>
      </c>
      <c r="L29" s="9">
        <f t="shared" ref="L29" si="1">+L19+L6</f>
        <v>239126.84532663567</v>
      </c>
    </row>
    <row r="30" spans="2:12" ht="7.2" customHeight="1" x14ac:dyDescent="0.3">
      <c r="D30" s="5"/>
      <c r="E30" s="5"/>
      <c r="F30" s="5"/>
      <c r="G30" s="5"/>
      <c r="H30" s="5"/>
      <c r="I30" s="5"/>
      <c r="J30" s="5"/>
      <c r="K30" s="5"/>
      <c r="L30" s="5"/>
    </row>
    <row r="31" spans="2:12" x14ac:dyDescent="0.3">
      <c r="B31" s="115" t="s">
        <v>43</v>
      </c>
      <c r="C31" s="115" t="s">
        <v>44</v>
      </c>
      <c r="D31" s="8">
        <f>IFERROR('éves P&amp;L_mérleg'!D31/D$3*1000,0)</f>
        <v>15743.836409234134</v>
      </c>
      <c r="E31" s="8">
        <f>IFERROR('éves P&amp;L_mérleg'!E31/E$3*1000,0)</f>
        <v>16507.045205391114</v>
      </c>
      <c r="F31" s="8">
        <f>IFERROR('éves P&amp;L_mérleg'!F31/F$3*1000,0)</f>
        <v>16001.782215172156</v>
      </c>
      <c r="G31" s="8">
        <f>IFERROR('éves P&amp;L_mérleg'!G31/G$3*1000,0)</f>
        <v>17396.478276654972</v>
      </c>
      <c r="H31" s="8">
        <f>IFERROR('éves P&amp;L_mérleg'!H31/H$3*1000,0)</f>
        <v>23409.900583353872</v>
      </c>
      <c r="I31" s="8">
        <f>IFERROR('éves P&amp;L_mérleg'!I31/I$3*1000,0)</f>
        <v>51515.766937669374</v>
      </c>
      <c r="J31" s="8">
        <f>IFERROR('éves P&amp;L_mérleg'!J31/J$3*1000,0)</f>
        <v>66677.981261711437</v>
      </c>
      <c r="K31" s="8">
        <f>IFERROR('éves P&amp;L_mérleg'!K31/K$3*1000,0)</f>
        <v>88442.745179998965</v>
      </c>
      <c r="L31" s="8">
        <f>IFERROR('éves P&amp;L_mérleg'!L31/L$3*1000,0)</f>
        <v>96232.529444756045</v>
      </c>
    </row>
    <row r="32" spans="2:12" outlineLevel="1" x14ac:dyDescent="0.3">
      <c r="B32" s="49" t="s">
        <v>45</v>
      </c>
      <c r="C32" s="49" t="s">
        <v>46</v>
      </c>
      <c r="D32" s="5">
        <f>IFERROR('éves P&amp;L_mérleg'!D32/D$3*1000,0)</f>
        <v>15834.280753649286</v>
      </c>
      <c r="E32" s="5">
        <f>IFERROR('éves P&amp;L_mérleg'!E32/E$3*1000,0)</f>
        <v>16589.914232282197</v>
      </c>
      <c r="F32" s="5">
        <f>IFERROR('éves P&amp;L_mérleg'!F32/F$3*1000,0)</f>
        <v>16023.056825604179</v>
      </c>
      <c r="G32" s="5">
        <f>IFERROR('éves P&amp;L_mérleg'!G32/G$3*1000,0)</f>
        <v>17408.356529105655</v>
      </c>
      <c r="H32" s="5">
        <f>IFERROR('éves P&amp;L_mérleg'!H32/H$3*1000,0)</f>
        <v>23388.634185084764</v>
      </c>
      <c r="I32" s="5">
        <f>IFERROR('éves P&amp;L_mérleg'!I32/I$3*1000,0)</f>
        <v>51488.582655826562</v>
      </c>
      <c r="J32" s="5">
        <f>IFERROR('éves P&amp;L_mérleg'!J32/J$3*1000,0)</f>
        <v>66465.741411617739</v>
      </c>
      <c r="K32" s="5">
        <f>IFERROR('éves P&amp;L_mérleg'!K32/K$3*1000,0)</f>
        <v>88328.880819269572</v>
      </c>
      <c r="L32" s="5">
        <f>IFERROR('éves P&amp;L_mérleg'!L32/L$3*1000,0)</f>
        <v>96232.529444756045</v>
      </c>
    </row>
    <row r="33" spans="2:12" outlineLevel="1" x14ac:dyDescent="0.3">
      <c r="B33" t="s">
        <v>47</v>
      </c>
      <c r="C33" t="s">
        <v>48</v>
      </c>
      <c r="D33" s="5">
        <f>IFERROR('éves P&amp;L_mérleg'!D33/D$3*1000,0)</f>
        <v>628.22326538486277</v>
      </c>
      <c r="E33" s="5">
        <f>IFERROR('éves P&amp;L_mérleg'!E33/E$3*1000,0)</f>
        <v>630.00580383052818</v>
      </c>
      <c r="F33" s="5">
        <f>IFERROR('éves P&amp;L_mérleg'!F33/F$3*1000,0)</f>
        <v>607.48965817548435</v>
      </c>
      <c r="G33" s="5">
        <f>IFERROR('éves P&amp;L_mérleg'!G33/G$3*1000,0)</f>
        <v>704.79244826334264</v>
      </c>
      <c r="H33" s="5">
        <f>IFERROR('éves P&amp;L_mérleg'!H33/H$3*1000,0)</f>
        <v>638.05220058609268</v>
      </c>
      <c r="I33" s="5">
        <f>IFERROR('éves P&amp;L_mérleg'!I33/I$3*1000,0)</f>
        <v>656.46341463414637</v>
      </c>
      <c r="J33" s="5">
        <f>IFERROR('éves P&amp;L_mérleg'!J33/J$3*1000,0)</f>
        <v>622.27607745159276</v>
      </c>
      <c r="K33" s="5">
        <f>IFERROR('éves P&amp;L_mérleg'!K33/K$3*1000,0)</f>
        <v>646.67432990229383</v>
      </c>
      <c r="L33" s="5">
        <f>IFERROR('éves P&amp;L_mérleg'!L33/L$3*1000,0)</f>
        <v>607.52517740008295</v>
      </c>
    </row>
    <row r="34" spans="2:12" outlineLevel="1" x14ac:dyDescent="0.3">
      <c r="B34" t="s">
        <v>178</v>
      </c>
      <c r="C34" t="s">
        <v>49</v>
      </c>
      <c r="D34" s="5">
        <f>IFERROR('éves P&amp;L_mérleg'!D34/D$3*1000,0)</f>
        <v>9905.594495530835</v>
      </c>
      <c r="E34" s="5">
        <f>IFERROR('éves P&amp;L_mérleg'!E34/E$3*1000,0)</f>
        <v>9933.7009092667849</v>
      </c>
      <c r="F34" s="5">
        <f>IFERROR('éves P&amp;L_mérleg'!F34/F$3*1000,0)</f>
        <v>9582.4017915461427</v>
      </c>
      <c r="G34" s="5">
        <f>IFERROR('éves P&amp;L_mérleg'!G34/G$3*1000,0)</f>
        <v>15297.733873895682</v>
      </c>
      <c r="H34" s="5">
        <f>IFERROR('éves P&amp;L_mérleg'!H34/H$3*1000,0)</f>
        <v>14201.361159039247</v>
      </c>
      <c r="I34" s="5">
        <f>IFERROR('éves P&amp;L_mérleg'!I34/I$3*1000,0)</f>
        <v>14567.395663956639</v>
      </c>
      <c r="J34" s="5">
        <f>IFERROR('éves P&amp;L_mérleg'!J34/J$3*1000,0)</f>
        <v>16422.605871330419</v>
      </c>
      <c r="K34" s="5">
        <f>IFERROR('éves P&amp;L_mérleg'!K34/K$3*1000,0)</f>
        <v>16129.596635142903</v>
      </c>
      <c r="L34" s="5">
        <f>IFERROR('éves P&amp;L_mérleg'!L34/L$3*1000,0)</f>
        <v>16328.274281255335</v>
      </c>
    </row>
    <row r="35" spans="2:12" outlineLevel="1" x14ac:dyDescent="0.3">
      <c r="B35" t="s">
        <v>135</v>
      </c>
      <c r="C35" t="s">
        <v>268</v>
      </c>
      <c r="D35" s="5">
        <f>IFERROR('éves P&amp;L_mérleg'!D35/D$3*1000,0)</f>
        <v>0</v>
      </c>
      <c r="E35" s="5">
        <f>IFERROR('éves P&amp;L_mérleg'!E35/E$3*1000,0)</f>
        <v>0</v>
      </c>
      <c r="F35" s="5">
        <f>IFERROR('éves P&amp;L_mérleg'!F35/F$3*1000,0)</f>
        <v>0</v>
      </c>
      <c r="G35" s="5">
        <f>IFERROR('éves P&amp;L_mérleg'!G35/G$3*1000,0)</f>
        <v>0</v>
      </c>
      <c r="H35" s="5">
        <f>IFERROR('éves P&amp;L_mérleg'!H35/H$3*1000,0)</f>
        <v>-611.45071618327722</v>
      </c>
      <c r="I35" s="5">
        <f>IFERROR('éves P&amp;L_mérleg'!I35/I$3*1000,0)</f>
        <v>0</v>
      </c>
      <c r="J35" s="5">
        <f>IFERROR('éves P&amp;L_mérleg'!J35/J$3*1000,0)</f>
        <v>-3646.5808869456591</v>
      </c>
      <c r="K35" s="5">
        <f>IFERROR('éves P&amp;L_mérleg'!K35/K$3*1000,0)</f>
        <v>-4926.6184231151055</v>
      </c>
      <c r="L35" s="5">
        <f>IFERROR('éves P&amp;L_mérleg'!L35/L$3*1000,0)</f>
        <v>0</v>
      </c>
    </row>
    <row r="36" spans="2:12" outlineLevel="1" x14ac:dyDescent="0.3">
      <c r="B36" t="s">
        <v>50</v>
      </c>
      <c r="C36" t="s">
        <v>51</v>
      </c>
      <c r="D36" s="5">
        <f>IFERROR('éves P&amp;L_mérleg'!D36/D$3*1000,0)</f>
        <v>135.99125458169894</v>
      </c>
      <c r="E36" s="5">
        <f>IFERROR('éves P&amp;L_mérleg'!E36/E$3*1000,0)</f>
        <v>270.00709357064551</v>
      </c>
      <c r="F36" s="5">
        <f>IFERROR('éves P&amp;L_mérleg'!F36/F$3*1000,0)</f>
        <v>288.29585393922429</v>
      </c>
      <c r="G36" s="5">
        <f>IFERROR('éves P&amp;L_mérleg'!G36/G$3*1000,0)</f>
        <v>206.9405784823914</v>
      </c>
      <c r="H36" s="5">
        <f>IFERROR('éves P&amp;L_mérleg'!H36/H$3*1000,0)</f>
        <v>172.04557280968424</v>
      </c>
      <c r="I36" s="5">
        <f>IFERROR('éves P&amp;L_mérleg'!I36/I$3*1000,0)</f>
        <v>-560.6368563685636</v>
      </c>
      <c r="J36" s="5">
        <f>IFERROR('éves P&amp;L_mérleg'!J36/J$3*1000,0)</f>
        <v>5169.8813241723919</v>
      </c>
      <c r="K36" s="5">
        <f>IFERROR('éves P&amp;L_mérleg'!K36/K$3*1000,0)</f>
        <v>-6241.2456241182927</v>
      </c>
      <c r="L36" s="5">
        <f>IFERROR('éves P&amp;L_mérleg'!L36/L$3*1000,0)</f>
        <v>-5456.4802848155296</v>
      </c>
    </row>
    <row r="37" spans="2:12" outlineLevel="1" x14ac:dyDescent="0.3">
      <c r="B37" t="s">
        <v>52</v>
      </c>
      <c r="C37" t="s">
        <v>53</v>
      </c>
      <c r="D37" s="5">
        <f>IFERROR('éves P&amp;L_mérleg'!D37/D$3*1000,0)</f>
        <v>4335.2292457076719</v>
      </c>
      <c r="E37" s="5">
        <f>IFERROR('éves P&amp;L_mérleg'!E37/E$3*1000,0)</f>
        <v>6470.8228541948802</v>
      </c>
      <c r="F37" s="5">
        <f>IFERROR('éves P&amp;L_mérleg'!F37/F$3*1000,0)</f>
        <v>7054.1507262604591</v>
      </c>
      <c r="G37" s="5">
        <f>IFERROR('éves P&amp;L_mérleg'!G37/G$3*1000,0)</f>
        <v>6968.6615030860476</v>
      </c>
      <c r="H37" s="5">
        <f>IFERROR('éves P&amp;L_mérleg'!H37/H$3*1000,0)</f>
        <v>7893.6707474050345</v>
      </c>
      <c r="I37" s="5">
        <f>IFERROR('éves P&amp;L_mérleg'!I37/I$3*1000,0)</f>
        <v>22444.788617886177</v>
      </c>
      <c r="J37" s="5">
        <f>IFERROR('éves P&amp;L_mérleg'!J37/J$3*1000,0)</f>
        <v>47897.559025608993</v>
      </c>
      <c r="K37" s="5">
        <f>IFERROR('éves P&amp;L_mérleg'!K37/K$3*1000,0)</f>
        <v>82720.473901457764</v>
      </c>
      <c r="L37" s="5">
        <f>IFERROR('éves P&amp;L_mérleg'!L37/L$3*1000,0)</f>
        <v>81153.773561901064</v>
      </c>
    </row>
    <row r="38" spans="2:12" outlineLevel="1" x14ac:dyDescent="0.3">
      <c r="B38" t="s">
        <v>54</v>
      </c>
      <c r="C38" t="s">
        <v>55</v>
      </c>
      <c r="D38" s="5">
        <f>IFERROR('éves P&amp;L_mérleg'!D38/D$3*1000,0)</f>
        <v>-586.53462799819954</v>
      </c>
      <c r="E38" s="5">
        <f>IFERROR('éves P&amp;L_mérleg'!E38/E$3*1000,0)</f>
        <v>-588.19887792609791</v>
      </c>
      <c r="F38" s="5">
        <f>IFERROR('éves P&amp;L_mérleg'!F38/F$3*1000,0)</f>
        <v>-579.7891200895773</v>
      </c>
      <c r="G38" s="5">
        <f>IFERROR('éves P&amp;L_mérleg'!G38/G$3*1000,0)</f>
        <v>-582.51845576667074</v>
      </c>
      <c r="H38" s="5">
        <f>IFERROR('éves P&amp;L_mérleg'!H38/H$3*1000,0)</f>
        <v>0</v>
      </c>
      <c r="I38" s="5">
        <f>IFERROR('éves P&amp;L_mérleg'!I38/I$3*1000,0)</f>
        <v>0</v>
      </c>
      <c r="J38" s="5">
        <f>IFERROR('éves P&amp;L_mérleg'!J38/J$3*1000,0)</f>
        <v>0</v>
      </c>
      <c r="K38" s="5">
        <f>IFERROR('éves P&amp;L_mérleg'!K38/K$3*1000,0)</f>
        <v>0</v>
      </c>
      <c r="L38" s="5">
        <f>IFERROR('éves P&amp;L_mérleg'!L38/L$3*1000,0)</f>
        <v>0</v>
      </c>
    </row>
    <row r="39" spans="2:12" outlineLevel="1" x14ac:dyDescent="0.3">
      <c r="B39" t="s">
        <v>56</v>
      </c>
      <c r="C39" t="s">
        <v>57</v>
      </c>
      <c r="D39" s="5">
        <f>IFERROR('éves P&amp;L_mérleg'!D39/D$3*1000,0)</f>
        <v>1415.7771204424153</v>
      </c>
      <c r="E39" s="5">
        <f>IFERROR('éves P&amp;L_mérleg'!E39/E$3*1000,0)</f>
        <v>-126.42355065454313</v>
      </c>
      <c r="F39" s="5">
        <f>IFERROR('éves P&amp;L_mérleg'!F39/F$3*1000,0)</f>
        <v>-930.30698889614644</v>
      </c>
      <c r="G39" s="5">
        <f>IFERROR('éves P&amp;L_mérleg'!G39/G$3*1000,0)</f>
        <v>-5184.0493767396829</v>
      </c>
      <c r="H39" s="5">
        <f>IFERROR('éves P&amp;L_mérleg'!H39/H$3*1000,0)</f>
        <v>1094.9552214279845</v>
      </c>
      <c r="I39" s="5">
        <f>IFERROR('éves P&amp;L_mérleg'!I39/I$3*1000,0)</f>
        <v>14380.571815718156</v>
      </c>
      <c r="J39" s="5">
        <f>IFERROR('éves P&amp;L_mérleg'!J39/J$3*1000,0)</f>
        <v>0</v>
      </c>
      <c r="K39" s="5">
        <f>IFERROR('éves P&amp;L_mérleg'!K39/K$3*1000,0)</f>
        <v>0</v>
      </c>
      <c r="L39" s="5">
        <f>IFERROR('éves P&amp;L_mérleg'!L39/L$3*1000,0)</f>
        <v>3599.4367090150945</v>
      </c>
    </row>
    <row r="40" spans="2:12" outlineLevel="1" x14ac:dyDescent="0.3">
      <c r="B40" t="s">
        <v>58</v>
      </c>
      <c r="C40" t="s">
        <v>181</v>
      </c>
      <c r="D40" s="5">
        <f>IFERROR('éves P&amp;L_mérleg'!D40/D$3*1000,0)</f>
        <v>0</v>
      </c>
      <c r="E40" s="5">
        <f>IFERROR('éves P&amp;L_mérleg'!E40/E$3*1000,0)</f>
        <v>0</v>
      </c>
      <c r="F40" s="5">
        <f>IFERROR('éves P&amp;L_mérleg'!F40/F$3*1000,0)</f>
        <v>0.81490466859506705</v>
      </c>
      <c r="G40" s="5">
        <f>IFERROR('éves P&amp;L_mérleg'!G40/G$3*1000,0)</f>
        <v>-3.2040421154544352</v>
      </c>
      <c r="H40" s="5">
        <f>IFERROR('éves P&amp;L_mérleg'!H40/H$3*1000,0)</f>
        <v>0</v>
      </c>
      <c r="I40" s="5">
        <f>IFERROR('éves P&amp;L_mérleg'!I40/I$3*1000,0)</f>
        <v>0</v>
      </c>
      <c r="J40" s="5">
        <f>IFERROR('éves P&amp;L_mérleg'!J40/J$3*1000,0)</f>
        <v>0</v>
      </c>
      <c r="K40" s="5">
        <f>IFERROR('éves P&amp;L_mérleg'!K40/K$3*1000,0)</f>
        <v>0</v>
      </c>
      <c r="L40" s="5">
        <f>IFERROR('éves P&amp;L_mérleg'!L40/L$3*1000,0)</f>
        <v>0</v>
      </c>
    </row>
    <row r="41" spans="2:12" outlineLevel="1" x14ac:dyDescent="0.3">
      <c r="B41" t="s">
        <v>311</v>
      </c>
      <c r="C41" t="s">
        <v>311</v>
      </c>
      <c r="D41" s="5">
        <f>IFERROR('éves P&amp;L_mérleg'!D41/D$3*1000,0)</f>
        <v>0</v>
      </c>
      <c r="E41" s="5">
        <f>IFERROR('éves P&amp;L_mérleg'!E41/E$3*1000,0)</f>
        <v>0</v>
      </c>
      <c r="F41" s="5">
        <f>IFERROR('éves P&amp;L_mérleg'!F41/F$3*1000,0)</f>
        <v>0</v>
      </c>
      <c r="G41" s="5">
        <f>IFERROR('éves P&amp;L_mérleg'!G41/G$3*1000,0)</f>
        <v>0</v>
      </c>
      <c r="H41" s="5">
        <f>IFERROR('éves P&amp;L_mérleg'!H41/H$3*1000,0)</f>
        <v>0</v>
      </c>
      <c r="I41" s="5">
        <f>IFERROR('éves P&amp;L_mérleg'!I41/I$3*1000,0)</f>
        <v>0</v>
      </c>
      <c r="J41" s="5">
        <f>IFERROR('éves P&amp;L_mérleg'!J41/J$3*1000,0)</f>
        <v>0</v>
      </c>
      <c r="K41" s="5">
        <f>IFERROR('éves P&amp;L_mérleg'!K41/K$3*1000,0)</f>
        <v>0</v>
      </c>
      <c r="L41" s="5">
        <f>IFERROR('éves P&amp;L_mérleg'!L41/L$3*1000,0)</f>
        <v>0</v>
      </c>
    </row>
    <row r="42" spans="2:12" outlineLevel="1" x14ac:dyDescent="0.3">
      <c r="B42" s="49" t="s">
        <v>59</v>
      </c>
      <c r="C42" s="49" t="s">
        <v>60</v>
      </c>
      <c r="D42" s="5">
        <f>IFERROR('éves P&amp;L_mérleg'!D42/D$3*1000,0)</f>
        <v>-90.444344415150141</v>
      </c>
      <c r="E42" s="5">
        <f>IFERROR('éves P&amp;L_mérleg'!E42/E$3*1000,0)</f>
        <v>-82.869026891081461</v>
      </c>
      <c r="F42" s="5">
        <f>IFERROR('éves P&amp;L_mérleg'!F42/F$3*1000,0)</f>
        <v>-21.274610432023888</v>
      </c>
      <c r="G42" s="5">
        <f>IFERROR('éves P&amp;L_mérleg'!G42/G$3*1000,0)</f>
        <v>-11.878252450683773</v>
      </c>
      <c r="H42" s="5">
        <f>IFERROR('éves P&amp;L_mérleg'!H42/H$3*1000,0)</f>
        <v>21.266398269109633</v>
      </c>
      <c r="I42" s="5">
        <f>IFERROR('éves P&amp;L_mérleg'!I42/I$3*1000,0)</f>
        <v>27.184281842818432</v>
      </c>
      <c r="J42" s="5">
        <f>IFERROR('éves P&amp;L_mérleg'!J42/J$3*1000,0)</f>
        <v>212.23985009369144</v>
      </c>
      <c r="K42" s="5">
        <f>IFERROR('éves P&amp;L_mérleg'!K42/K$3*1000,0)</f>
        <v>113.8643607294007</v>
      </c>
      <c r="L42" s="5">
        <f>IFERROR('éves P&amp;L_mérleg'!L42/L$3*1000,0)</f>
        <v>0</v>
      </c>
    </row>
    <row r="43" spans="2:12" outlineLevel="1" collapsed="1" x14ac:dyDescent="0.3">
      <c r="D43" s="5"/>
      <c r="E43" s="5"/>
      <c r="F43" s="5"/>
      <c r="G43" s="5"/>
      <c r="H43" s="5"/>
      <c r="I43" s="5"/>
      <c r="J43" s="5"/>
      <c r="K43" s="5"/>
      <c r="L43" s="5"/>
    </row>
    <row r="44" spans="2:12" x14ac:dyDescent="0.3">
      <c r="B44" s="115" t="s">
        <v>61</v>
      </c>
      <c r="C44" s="115" t="s">
        <v>62</v>
      </c>
      <c r="D44" s="8">
        <f>IFERROR('éves P&amp;L_mérleg'!D44/D$3*1000,0)</f>
        <v>12691.437849655969</v>
      </c>
      <c r="E44" s="8">
        <f>IFERROR('éves P&amp;L_mérleg'!E44/E$3*1000,0)</f>
        <v>20167.633971754698</v>
      </c>
      <c r="F44" s="8">
        <f>IFERROR('éves P&amp;L_mérleg'!F44/F$3*1000,0)</f>
        <v>28398.702995241201</v>
      </c>
      <c r="G44" s="8">
        <f>IFERROR('éves P&amp;L_mérleg'!G44/G$3*1000,0)</f>
        <v>65831.435314050599</v>
      </c>
      <c r="H44" s="8">
        <f>IFERROR('éves P&amp;L_mérleg'!H44/H$3*1000,0)</f>
        <v>76427.116369512223</v>
      </c>
      <c r="I44" s="8">
        <f>IFERROR('éves P&amp;L_mérleg'!I44/I$3*1000,0)</f>
        <v>66371.07859078591</v>
      </c>
      <c r="J44" s="8">
        <f>IFERROR('éves P&amp;L_mérleg'!J44/J$3*1000,0)</f>
        <v>66773.266708307303</v>
      </c>
      <c r="K44" s="8">
        <f>IFERROR('éves P&amp;L_mérleg'!K44/K$3*1000,0)</f>
        <v>74856.02434818956</v>
      </c>
      <c r="L44" s="8">
        <f>IFERROR('éves P&amp;L_mérleg'!L44/L$3*1000,0)</f>
        <v>67998.517398619806</v>
      </c>
    </row>
    <row r="45" spans="2:12" x14ac:dyDescent="0.3">
      <c r="B45" t="s">
        <v>63</v>
      </c>
      <c r="C45" t="s">
        <v>23</v>
      </c>
      <c r="D45" s="5">
        <f>IFERROR('éves P&amp;L_mérleg'!D45/D$3*1000,0)</f>
        <v>6188.5119927978913</v>
      </c>
      <c r="E45" s="5">
        <f>IFERROR('éves P&amp;L_mérleg'!E45/E$3*1000,0)</f>
        <v>5770.2553685432395</v>
      </c>
      <c r="F45" s="5">
        <f>IFERROR('éves P&amp;L_mérleg'!F45/F$3*1000,0)</f>
        <v>16370.206214425682</v>
      </c>
      <c r="G45" s="5">
        <f>IFERROR('éves P&amp;L_mérleg'!G45/G$3*1000,0)</f>
        <v>23852.853079995159</v>
      </c>
      <c r="H45" s="5">
        <f>IFERROR('éves P&amp;L_mérleg'!H45/H$3*1000,0)</f>
        <v>23036.718429052671</v>
      </c>
      <c r="I45" s="5">
        <f>IFERROR('éves P&amp;L_mérleg'!I45/I$3*1000,0)</f>
        <v>17840.373983739839</v>
      </c>
      <c r="J45" s="5">
        <f>IFERROR('éves P&amp;L_mérleg'!J45/J$3*1000,0)</f>
        <v>31625.918800749532</v>
      </c>
      <c r="K45" s="5">
        <f>IFERROR('éves P&amp;L_mérleg'!K45/K$3*1000,0)</f>
        <v>33069.319191180315</v>
      </c>
      <c r="L45" s="5">
        <f>IFERROR('éves P&amp;L_mérleg'!L45/L$3*1000,0)</f>
        <v>30972.723060791533</v>
      </c>
    </row>
    <row r="46" spans="2:12" x14ac:dyDescent="0.3">
      <c r="B46" t="s">
        <v>64</v>
      </c>
      <c r="C46" t="s">
        <v>65</v>
      </c>
      <c r="D46" s="5">
        <f>IFERROR('éves P&amp;L_mérleg'!D46/D$3*1000,0)</f>
        <v>2434.206803421002</v>
      </c>
      <c r="E46" s="5">
        <f>IFERROR('éves P&amp;L_mérleg'!E46/E$3*1000,0)</f>
        <v>11230.721609595666</v>
      </c>
      <c r="F46" s="5">
        <f>IFERROR('éves P&amp;L_mérleg'!F46/F$3*1000,0)</f>
        <v>8162.2375664831579</v>
      </c>
      <c r="G46" s="5">
        <f>IFERROR('éves P&amp;L_mérleg'!G46/G$3*1000,0)</f>
        <v>33005.624470531286</v>
      </c>
      <c r="H46" s="5">
        <f>IFERROR('éves P&amp;L_mérleg'!H46/H$3*1000,0)</f>
        <v>40777.257415167202</v>
      </c>
      <c r="I46" s="5">
        <f>IFERROR('éves P&amp;L_mérleg'!I46/I$3*1000,0)</f>
        <v>34304.265582655826</v>
      </c>
      <c r="J46" s="5">
        <f>IFERROR('éves P&amp;L_mérleg'!J46/J$3*1000,0)</f>
        <v>16664.712054965647</v>
      </c>
      <c r="K46" s="5">
        <f>IFERROR('éves P&amp;L_mérleg'!K46/K$3*1000,0)</f>
        <v>25027.297664454782</v>
      </c>
      <c r="L46" s="5">
        <f>IFERROR('éves P&amp;L_mérleg'!L46/L$3*1000,0)</f>
        <v>19113.892072471899</v>
      </c>
    </row>
    <row r="47" spans="2:12" x14ac:dyDescent="0.3">
      <c r="B47" t="s">
        <v>66</v>
      </c>
      <c r="C47" t="s">
        <v>67</v>
      </c>
      <c r="D47" s="5">
        <f>IFERROR('éves P&amp;L_mérleg'!D47/D$3*1000,0)</f>
        <v>407.32750305446598</v>
      </c>
      <c r="E47" s="5">
        <f>IFERROR('éves P&amp;L_mérleg'!E47/E$3*1000,0)</f>
        <v>351.36067582382151</v>
      </c>
      <c r="F47" s="5">
        <f>IFERROR('éves P&amp;L_mérleg'!F47/F$3*1000,0)</f>
        <v>890.47930079935315</v>
      </c>
      <c r="G47" s="5">
        <f>IFERROR('éves P&amp;L_mérleg'!G47/G$3*1000,0)</f>
        <v>2774.7851869780952</v>
      </c>
      <c r="H47" s="5">
        <f>IFERROR('éves P&amp;L_mérleg'!H47/H$3*1000,0)</f>
        <v>2868.583792074056</v>
      </c>
      <c r="I47" s="5">
        <f>IFERROR('éves P&amp;L_mérleg'!I47/I$3*1000,0)</f>
        <v>4573.7235772357726</v>
      </c>
      <c r="J47" s="5">
        <f>IFERROR('éves P&amp;L_mérleg'!J47/J$3*1000,0)</f>
        <v>4618.6058713304183</v>
      </c>
      <c r="K47" s="5">
        <f>IFERROR('éves P&amp;L_mérleg'!K47/K$3*1000,0)</f>
        <v>5643.1396624693043</v>
      </c>
      <c r="L47" s="5">
        <f>IFERROR('éves P&amp;L_mérleg'!L47/L$3*1000,0)</f>
        <v>5945.1632568460591</v>
      </c>
    </row>
    <row r="48" spans="2:12" outlineLevel="1" x14ac:dyDescent="0.3">
      <c r="B48" t="s">
        <v>68</v>
      </c>
      <c r="C48" t="s">
        <v>69</v>
      </c>
      <c r="D48" s="5">
        <f>IFERROR('éves P&amp;L_mérleg'!D48/D$3*1000,0)</f>
        <v>864.46209246993772</v>
      </c>
      <c r="E48" s="5">
        <f>IFERROR('éves P&amp;L_mérleg'!E48/E$3*1000,0)</f>
        <v>1050.5191203972399</v>
      </c>
      <c r="F48" s="5">
        <f>IFERROR('éves P&amp;L_mérleg'!F48/F$3*1000,0)</f>
        <v>863.24842151099506</v>
      </c>
      <c r="G48" s="5">
        <f>IFERROR('éves P&amp;L_mérleg'!G48/G$3*1000,0)</f>
        <v>1814.4620597845819</v>
      </c>
      <c r="H48" s="5">
        <f>IFERROR('éves P&amp;L_mérleg'!H48/H$3*1000,0)</f>
        <v>2373.2643168186673</v>
      </c>
      <c r="I48" s="5">
        <f>IFERROR('éves P&amp;L_mérleg'!I48/I$3*1000,0)</f>
        <v>4031.8726287262871</v>
      </c>
      <c r="J48" s="5">
        <f>IFERROR('éves P&amp;L_mérleg'!J48/J$3*1000,0)</f>
        <v>5616.8744534665839</v>
      </c>
      <c r="K48" s="5">
        <f>IFERROR('éves P&amp;L_mérleg'!K48/K$3*1000,0)</f>
        <v>2156.7819635299652</v>
      </c>
      <c r="L48" s="5">
        <f>IFERROR('éves P&amp;L_mérleg'!L48/L$3*1000,0)</f>
        <v>2276.4661415786782</v>
      </c>
    </row>
    <row r="49" spans="2:12" outlineLevel="1" x14ac:dyDescent="0.3">
      <c r="B49" t="s">
        <v>70</v>
      </c>
      <c r="C49" t="s">
        <v>71</v>
      </c>
      <c r="D49" s="5">
        <f>IFERROR('éves P&amp;L_mérleg'!D49/D$3*1000,0)</f>
        <v>1773.7637450967786</v>
      </c>
      <c r="E49" s="5">
        <f>IFERROR('éves P&amp;L_mérleg'!E49/E$3*1000,0)</f>
        <v>1051.4283871799832</v>
      </c>
      <c r="F49" s="5">
        <f>IFERROR('éves P&amp;L_mérleg'!F49/F$3*1000,0)</f>
        <v>782.98964262386858</v>
      </c>
      <c r="G49" s="5">
        <f>IFERROR('éves P&amp;L_mérleg'!G49/G$3*1000,0)</f>
        <v>1720.5615393924725</v>
      </c>
      <c r="H49" s="5">
        <f>IFERROR('éves P&amp;L_mérleg'!H49/H$3*1000,0)</f>
        <v>2329.2881987237424</v>
      </c>
      <c r="I49" s="5">
        <f>IFERROR('éves P&amp;L_mérleg'!I49/I$3*1000,0)</f>
        <v>2558.6341463414633</v>
      </c>
      <c r="J49" s="5">
        <f>IFERROR('éves P&amp;L_mérleg'!J49/J$3*1000,0)</f>
        <v>3117.4640849469088</v>
      </c>
      <c r="K49" s="5">
        <f>IFERROR('éves P&amp;L_mérleg'!K49/K$3*1000,0)</f>
        <v>3191.2717487852037</v>
      </c>
      <c r="L49" s="5">
        <f>IFERROR('éves P&amp;L_mérleg'!L49/L$3*1000,0)</f>
        <v>5753.1322392645525</v>
      </c>
    </row>
    <row r="50" spans="2:12" outlineLevel="1" x14ac:dyDescent="0.3">
      <c r="B50" t="s">
        <v>72</v>
      </c>
      <c r="C50" t="s">
        <v>73</v>
      </c>
      <c r="D50" s="5">
        <f>IFERROR('éves P&amp;L_mérleg'!D50/D$3*1000,0)</f>
        <v>1023.1657128158962</v>
      </c>
      <c r="E50" s="5">
        <f>IFERROR('éves P&amp;L_mérleg'!E50/E$3*1000,0)</f>
        <v>713.34881021474177</v>
      </c>
      <c r="F50" s="5">
        <f>IFERROR('éves P&amp;L_mérleg'!F50/F$3*1000,0)</f>
        <v>439.32692606761844</v>
      </c>
      <c r="G50" s="5">
        <f>IFERROR('éves P&amp;L_mérleg'!G50/G$3*1000,0)</f>
        <v>1620.7007140263827</v>
      </c>
      <c r="H50" s="5">
        <f>IFERROR('éves P&amp;L_mérleg'!H50/H$3*1000,0)</f>
        <v>1196.4615342480761</v>
      </c>
      <c r="I50" s="5">
        <f>IFERROR('éves P&amp;L_mérleg'!I50/I$3*1000,0)</f>
        <v>1609.3902439024391</v>
      </c>
      <c r="J50" s="5">
        <f>IFERROR('éves P&amp;L_mérleg'!J50/J$3*1000,0)</f>
        <v>2013.1792629606498</v>
      </c>
      <c r="K50" s="5">
        <f>IFERROR('éves P&amp;L_mérleg'!K50/K$3*1000,0)</f>
        <v>2214.9720466064059</v>
      </c>
      <c r="L50" s="5">
        <f>IFERROR('éves P&amp;L_mérleg'!L50/L$3*1000,0)</f>
        <v>2214.8430832256336</v>
      </c>
    </row>
    <row r="51" spans="2:12" outlineLevel="1" x14ac:dyDescent="0.3">
      <c r="B51" t="s">
        <v>74</v>
      </c>
      <c r="C51" t="s">
        <v>75</v>
      </c>
      <c r="D51" s="5">
        <f>IFERROR('éves P&amp;L_mérleg'!D51/D$3*1000,0)</f>
        <v>0</v>
      </c>
      <c r="E51" s="5">
        <f>IFERROR('éves P&amp;L_mérleg'!E51/E$3*1000,0)</f>
        <v>0</v>
      </c>
      <c r="F51" s="5">
        <f>IFERROR('éves P&amp;L_mérleg'!F51/F$3*1000,0)</f>
        <v>890.21492333053413</v>
      </c>
      <c r="G51" s="5">
        <f>IFERROR('éves P&amp;L_mérleg'!G51/G$3*1000,0)</f>
        <v>1042.4482633426117</v>
      </c>
      <c r="H51" s="5">
        <f>IFERROR('éves P&amp;L_mérleg'!H51/H$3*1000,0)</f>
        <v>3845.5426834278205</v>
      </c>
      <c r="I51" s="5">
        <f>IFERROR('éves P&amp;L_mérleg'!I51/I$3*1000,0)</f>
        <v>1452.8184281842821</v>
      </c>
      <c r="J51" s="5">
        <f>IFERROR('éves P&amp;L_mérleg'!J51/J$3*1000,0)</f>
        <v>3093.1068082448473</v>
      </c>
      <c r="K51" s="5">
        <f>IFERROR('éves P&amp;L_mérleg'!K51/K$3*1000,0)</f>
        <v>3553.2420711635928</v>
      </c>
      <c r="L51" s="5">
        <f>IFERROR('éves P&amp;L_mérleg'!L51/L$3*1000,0)</f>
        <v>1722.2975444414644</v>
      </c>
    </row>
    <row r="52" spans="2:12" outlineLevel="1" collapsed="1" x14ac:dyDescent="0.3"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3">
      <c r="B53" s="115" t="s">
        <v>76</v>
      </c>
      <c r="C53" s="115" t="s">
        <v>77</v>
      </c>
      <c r="D53" s="8">
        <f>IFERROR('éves P&amp;L_mérleg'!D53/D$3*1000,0)</f>
        <v>23483.679506141088</v>
      </c>
      <c r="E53" s="8">
        <f>IFERROR('éves P&amp;L_mérleg'!E53/E$3*1000,0)</f>
        <v>17017.588830850586</v>
      </c>
      <c r="F53" s="8">
        <f>IFERROR('éves P&amp;L_mérleg'!F53/F$3*1000,0)</f>
        <v>26698.693664271716</v>
      </c>
      <c r="G53" s="8">
        <f>IFERROR('éves P&amp;L_mérleg'!G53/G$3*1000,0)</f>
        <v>30455.091976279804</v>
      </c>
      <c r="H53" s="8">
        <f>IFERROR('éves P&amp;L_mérleg'!H53/H$3*1000,0)</f>
        <v>23089.858406594911</v>
      </c>
      <c r="I53" s="8">
        <f>IFERROR('éves P&amp;L_mérleg'!I53/I$3*1000,0)</f>
        <v>46776.428184281838</v>
      </c>
      <c r="J53" s="8">
        <f>IFERROR('éves P&amp;L_mérleg'!J53/J$3*1000,0)</f>
        <v>116466.95815115554</v>
      </c>
      <c r="K53" s="8">
        <f>IFERROR('éves P&amp;L_mérleg'!K53/K$3*1000,0)</f>
        <v>76990.11442604108</v>
      </c>
      <c r="L53" s="8">
        <f>IFERROR('éves P&amp;L_mérleg'!L53/L$3*1000,0)</f>
        <v>74895.798483259787</v>
      </c>
    </row>
    <row r="54" spans="2:12" x14ac:dyDescent="0.3">
      <c r="B54" t="s">
        <v>78</v>
      </c>
      <c r="C54" s="63" t="s">
        <v>187</v>
      </c>
      <c r="D54" s="5">
        <f>IFERROR('éves P&amp;L_mérleg'!D54/D$3*1000,0)</f>
        <v>1609.6199601311814</v>
      </c>
      <c r="E54" s="5">
        <f>IFERROR('éves P&amp;L_mérleg'!E54/E$3*1000,0)</f>
        <v>1684.2845166698912</v>
      </c>
      <c r="F54" s="5">
        <f>IFERROR('éves P&amp;L_mérleg'!F54/F$3*1000,0)</f>
        <v>1909.9312618581073</v>
      </c>
      <c r="G54" s="5">
        <f>IFERROR('éves P&amp;L_mérleg'!G54/G$3*1000,0)</f>
        <v>1401.3221590221469</v>
      </c>
      <c r="H54" s="5">
        <f>IFERROR('éves P&amp;L_mérleg'!H54/H$3*1000,0)</f>
        <v>2546.1972448169145</v>
      </c>
      <c r="I54" s="5">
        <f>IFERROR('éves P&amp;L_mérleg'!I54/I$3*1000,0)</f>
        <v>1137.6097560975611</v>
      </c>
      <c r="J54" s="5">
        <f>IFERROR('éves P&amp;L_mérleg'!J54/J$3*1000,0)</f>
        <v>17953.109306683324</v>
      </c>
      <c r="K54" s="5">
        <f>IFERROR('éves P&amp;L_mérleg'!K54/K$3*1000,0)</f>
        <v>4451.165160144209</v>
      </c>
      <c r="L54" s="5">
        <f>IFERROR('éves P&amp;L_mérleg'!L54/L$3*1000,0)</f>
        <v>3532.7903630910287</v>
      </c>
    </row>
    <row r="55" spans="2:12" x14ac:dyDescent="0.3">
      <c r="B55" t="s">
        <v>79</v>
      </c>
      <c r="C55" t="s">
        <v>139</v>
      </c>
      <c r="D55" s="5">
        <f>IFERROR('éves P&amp;L_mérleg'!D55/D$3*1000,0)</f>
        <v>8499.0225708957623</v>
      </c>
      <c r="E55" s="5">
        <f>IFERROR('éves P&amp;L_mérleg'!E55/E$3*1000,0)</f>
        <v>79.744631456761454</v>
      </c>
      <c r="F55" s="5">
        <f>IFERROR('éves P&amp;L_mérleg'!F55/F$3*1000,0)</f>
        <v>3056.4616963702533</v>
      </c>
      <c r="G55" s="5">
        <f>IFERROR('éves P&amp;L_mérleg'!G55/G$3*1000,0)</f>
        <v>6701.9060873774661</v>
      </c>
      <c r="H55" s="5">
        <f>IFERROR('éves P&amp;L_mérleg'!H55/H$3*1000,0)</f>
        <v>0</v>
      </c>
      <c r="I55" s="5">
        <f>IFERROR('éves P&amp;L_mérleg'!I55/I$3*1000,0)</f>
        <v>6265.9566395663951</v>
      </c>
      <c r="J55" s="5">
        <f>IFERROR('éves P&amp;L_mérleg'!J55/J$3*1000,0)</f>
        <v>0</v>
      </c>
      <c r="K55" s="5">
        <f>IFERROR('éves P&amp;L_mérleg'!K55/K$3*1000,0)</f>
        <v>0</v>
      </c>
      <c r="L55" s="5">
        <f>IFERROR('éves P&amp;L_mérleg'!L55/L$3*1000,0)</f>
        <v>0</v>
      </c>
    </row>
    <row r="56" spans="2:12" x14ac:dyDescent="0.3">
      <c r="B56" t="s">
        <v>210</v>
      </c>
      <c r="C56" t="s">
        <v>211</v>
      </c>
      <c r="D56" s="5">
        <f>IFERROR('éves P&amp;L_mérleg'!D56/D$3*1000,0)</f>
        <v>0</v>
      </c>
      <c r="E56" s="5">
        <f>IFERROR('éves P&amp;L_mérleg'!E56/E$3*1000,0)</f>
        <v>0</v>
      </c>
      <c r="F56" s="5">
        <f>IFERROR('éves P&amp;L_mérleg'!F56/F$3*1000,0)</f>
        <v>0</v>
      </c>
      <c r="G56" s="5">
        <f>IFERROR('éves P&amp;L_mérleg'!G56/G$3*1000,0)</f>
        <v>328.43700835047804</v>
      </c>
      <c r="H56" s="5">
        <f>IFERROR('éves P&amp;L_mérleg'!H56/H$3*1000,0)</f>
        <v>424.26533015638267</v>
      </c>
      <c r="I56" s="5">
        <f>IFERROR('éves P&amp;L_mérleg'!I56/I$3*1000,0)</f>
        <v>644.29268292682923</v>
      </c>
      <c r="J56" s="5">
        <f>IFERROR('éves P&amp;L_mérleg'!J56/J$3*1000,0)</f>
        <v>978.38850718301057</v>
      </c>
      <c r="K56" s="5">
        <f>IFERROR('éves P&amp;L_mérleg'!K56/K$3*1000,0)</f>
        <v>1386.0860024034696</v>
      </c>
      <c r="L56" s="5">
        <f>IFERROR('éves P&amp;L_mérleg'!L56/L$3*1000,0)</f>
        <v>1867.9021678168208</v>
      </c>
    </row>
    <row r="57" spans="2:12" outlineLevel="1" x14ac:dyDescent="0.3">
      <c r="B57" t="s">
        <v>80</v>
      </c>
      <c r="C57" t="s">
        <v>81</v>
      </c>
      <c r="D57" s="5">
        <f>IFERROR('éves P&amp;L_mérleg'!D57/D$3*1000,0)</f>
        <v>8147.1159410970358</v>
      </c>
      <c r="E57" s="5">
        <f>IFERROR('éves P&amp;L_mérleg'!E57/E$3*1000,0)</f>
        <v>6746.4854581801774</v>
      </c>
      <c r="F57" s="5">
        <f>IFERROR('éves P&amp;L_mérleg'!F57/F$3*1000,0)</f>
        <v>7525.7783583714345</v>
      </c>
      <c r="G57" s="5">
        <f>IFERROR('éves P&amp;L_mérleg'!G57/G$3*1000,0)</f>
        <v>5941.9520755173671</v>
      </c>
      <c r="H57" s="5">
        <f>IFERROR('éves P&amp;L_mérleg'!H57/H$3*1000,0)</f>
        <v>6322.1674472105824</v>
      </c>
      <c r="I57" s="5">
        <f>IFERROR('éves P&amp;L_mérleg'!I57/I$3*1000,0)</f>
        <v>12321.132791327913</v>
      </c>
      <c r="J57" s="5">
        <f>IFERROR('éves P&amp;L_mérleg'!J57/J$3*1000,0)</f>
        <v>28188.924422236101</v>
      </c>
      <c r="K57" s="5">
        <f>IFERROR('éves P&amp;L_mérleg'!K57/K$3*1000,0)</f>
        <v>8892.9646272010032</v>
      </c>
      <c r="L57" s="5">
        <f>IFERROR('éves P&amp;L_mérleg'!L57/L$3*1000,0)</f>
        <v>21219.081177302545</v>
      </c>
    </row>
    <row r="58" spans="2:12" outlineLevel="1" x14ac:dyDescent="0.3">
      <c r="B58" t="s">
        <v>82</v>
      </c>
      <c r="C58" t="s">
        <v>83</v>
      </c>
      <c r="D58" s="5">
        <f>IFERROR('éves P&amp;L_mérleg'!D58/D$3*1000,0)</f>
        <v>132.80817953829336</v>
      </c>
      <c r="E58" s="5">
        <f>IFERROR('éves P&amp;L_mérleg'!E58/E$3*1000,0)</f>
        <v>985.69678209840731</v>
      </c>
      <c r="F58" s="5">
        <f>IFERROR('éves P&amp;L_mérleg'!F58/F$3*1000,0)</f>
        <v>1874.0723461167618</v>
      </c>
      <c r="G58" s="5">
        <f>IFERROR('éves P&amp;L_mérleg'!G58/G$3*1000,0)</f>
        <v>3341.3076364516519</v>
      </c>
      <c r="H58" s="5">
        <f>IFERROR('éves P&amp;L_mérleg'!H58/H$3*1000,0)</f>
        <v>517.97989757072821</v>
      </c>
      <c r="I58" s="5">
        <f>IFERROR('éves P&amp;L_mérleg'!I58/I$3*1000,0)</f>
        <v>0</v>
      </c>
      <c r="J58" s="5">
        <f>IFERROR('éves P&amp;L_mérleg'!J58/J$3*1000,0)</f>
        <v>809.89381636477208</v>
      </c>
      <c r="K58" s="5">
        <f>IFERROR('éves P&amp;L_mérleg'!K58/K$3*1000,0)</f>
        <v>8200.0444119337499</v>
      </c>
      <c r="L58" s="5">
        <f>IFERROR('éves P&amp;L_mérleg'!L58/L$3*1000,0)</f>
        <v>0</v>
      </c>
    </row>
    <row r="59" spans="2:12" outlineLevel="1" x14ac:dyDescent="0.3">
      <c r="B59" t="s">
        <v>84</v>
      </c>
      <c r="C59" t="s">
        <v>85</v>
      </c>
      <c r="D59" s="5">
        <f>IFERROR('éves P&amp;L_mérleg'!D60/D$3*1000,0)</f>
        <v>4722.7155809915757</v>
      </c>
      <c r="E59" s="5">
        <f>IFERROR('éves P&amp;L_mérleg'!E60/E$3*1000,0)</f>
        <v>5427.3328174372864</v>
      </c>
      <c r="F59" s="5">
        <f>IFERROR('éves P&amp;L_mérleg'!F60/F$3*1000,0)</f>
        <v>11150.045099685858</v>
      </c>
      <c r="G59" s="5">
        <f>IFERROR('éves P&amp;L_mérleg'!G60/G$3*1000,0)</f>
        <v>11057.454919520756</v>
      </c>
      <c r="H59" s="5">
        <f>IFERROR('éves P&amp;L_mérleg'!H60/H$3*1000,0)</f>
        <v>12387.15525977049</v>
      </c>
      <c r="I59" s="5">
        <f>IFERROR('éves P&amp;L_mérleg'!I60/I$3*1000,0)</f>
        <v>25279.663956639568</v>
      </c>
      <c r="J59" s="5">
        <f>IFERROR('éves P&amp;L_mérleg'!J60/J$3*1000,0)</f>
        <v>62175.188007495315</v>
      </c>
      <c r="K59" s="5">
        <f>IFERROR('éves P&amp;L_mérleg'!K60/K$3*1000,0)</f>
        <v>46764.491352735255</v>
      </c>
      <c r="L59" s="5">
        <f>IFERROR('éves P&amp;L_mérleg'!L60/L$3*1000,0)</f>
        <v>41899.704942817436</v>
      </c>
    </row>
    <row r="60" spans="2:12" outlineLevel="1" x14ac:dyDescent="0.3">
      <c r="B60" t="s">
        <v>86</v>
      </c>
      <c r="C60" t="s">
        <v>87</v>
      </c>
      <c r="D60" s="5">
        <f>IFERROR('éves P&amp;L_mérleg'!D61/D$3*1000,0)</f>
        <v>29.171757443251241</v>
      </c>
      <c r="E60" s="5">
        <f>IFERROR('éves P&amp;L_mérleg'!E61/E$3*1000,0)</f>
        <v>31.743728638679311</v>
      </c>
      <c r="F60" s="5">
        <f>IFERROR('éves P&amp;L_mérleg'!F61/F$3*1000,0)</f>
        <v>47.976734782743932</v>
      </c>
      <c r="G60" s="5">
        <f>IFERROR('éves P&amp;L_mérleg'!G61/G$3*1000,0)</f>
        <v>176.10734600024205</v>
      </c>
      <c r="H60" s="5">
        <f>IFERROR('éves P&amp;L_mérleg'!H61/H$3*1000,0)</f>
        <v>764.74132500753171</v>
      </c>
      <c r="I60" s="5">
        <f>IFERROR('éves P&amp;L_mérleg'!I61/I$3*1000,0)</f>
        <v>1103.4119241192413</v>
      </c>
      <c r="J60" s="5">
        <f>IFERROR('éves P&amp;L_mérleg'!J61/J$3*1000,0)</f>
        <v>2615.6602123672701</v>
      </c>
      <c r="K60" s="5">
        <f>IFERROR('éves P&amp;L_mérleg'!K61/K$3*1000,0)</f>
        <v>7218.8672344427605</v>
      </c>
      <c r="L60" s="5">
        <f>IFERROR('éves P&amp;L_mérleg'!L61/L$3*1000,0)</f>
        <v>816.97919968787346</v>
      </c>
    </row>
    <row r="61" spans="2:12" outlineLevel="1" x14ac:dyDescent="0.3">
      <c r="B61" t="s">
        <v>88</v>
      </c>
      <c r="C61" t="s">
        <v>341</v>
      </c>
      <c r="D61" s="5">
        <f>IFERROR('éves P&amp;L_mérleg'!D62/D$3*1000,0)</f>
        <v>343.22551604398433</v>
      </c>
      <c r="E61" s="5">
        <f>IFERROR('éves P&amp;L_mérleg'!E62/E$3*1000,0)</f>
        <v>2062.3008963693815</v>
      </c>
      <c r="F61" s="5">
        <f>IFERROR('éves P&amp;L_mérleg'!F62/F$3*1000,0)</f>
        <v>1134.4281670865603</v>
      </c>
      <c r="G61" s="5">
        <f>IFERROR('éves P&amp;L_mérleg'!G62/G$3*1000,0)</f>
        <v>1506.6047440396953</v>
      </c>
      <c r="H61" s="5">
        <f>IFERROR('éves P&amp;L_mérleg'!H62/H$3*1000,0)</f>
        <v>127.35190206227919</v>
      </c>
      <c r="I61" s="5">
        <f>IFERROR('éves P&amp;L_mérleg'!I62/I$3*1000,0)</f>
        <v>24.360433604336045</v>
      </c>
      <c r="J61" s="5">
        <f>IFERROR('éves P&amp;L_mérleg'!J62/J$3*1000,0)</f>
        <v>3745.7938788257338</v>
      </c>
      <c r="K61" s="5">
        <f>IFERROR('éves P&amp;L_mérleg'!K62/K$3*1000,0)</f>
        <v>76.495637180625948</v>
      </c>
      <c r="L61" s="5">
        <f>IFERROR('éves P&amp;L_mérleg'!L62/L$3*1000,0)</f>
        <v>5232.653807700749</v>
      </c>
    </row>
    <row r="62" spans="2:12" ht="15" outlineLevel="1" thickBot="1" x14ac:dyDescent="0.35">
      <c r="D62" s="5"/>
      <c r="E62" s="5"/>
      <c r="F62" s="5"/>
      <c r="G62" s="5"/>
      <c r="H62" s="5"/>
      <c r="I62" s="5"/>
      <c r="J62" s="5"/>
      <c r="K62" s="5"/>
      <c r="L62" s="5"/>
    </row>
    <row r="63" spans="2:12" ht="15" thickBot="1" x14ac:dyDescent="0.35">
      <c r="B63" s="117" t="s">
        <v>90</v>
      </c>
      <c r="C63" s="117" t="s">
        <v>91</v>
      </c>
      <c r="D63" s="9">
        <f t="shared" ref="D63:K63" si="2">+D53+D44+D31</f>
        <v>51918.953765031198</v>
      </c>
      <c r="E63" s="9">
        <f t="shared" si="2"/>
        <v>53692.268007996398</v>
      </c>
      <c r="F63" s="9">
        <f t="shared" si="2"/>
        <v>71099.17887468508</v>
      </c>
      <c r="G63" s="9">
        <f t="shared" si="2"/>
        <v>113683.00556698538</v>
      </c>
      <c r="H63" s="9">
        <f t="shared" si="2"/>
        <v>122926.875359461</v>
      </c>
      <c r="I63" s="9">
        <f t="shared" si="2"/>
        <v>164663.27371273711</v>
      </c>
      <c r="J63" s="9">
        <f t="shared" si="2"/>
        <v>249918.20612117427</v>
      </c>
      <c r="K63" s="9">
        <f t="shared" si="2"/>
        <v>240288.88395422959</v>
      </c>
      <c r="L63" s="9">
        <f t="shared" ref="L63" si="3">+L53+L44+L31</f>
        <v>239126.84532663564</v>
      </c>
    </row>
    <row r="64" spans="2:12" x14ac:dyDescent="0.3">
      <c r="B64" s="4"/>
      <c r="C64" s="4"/>
      <c r="D64" s="356"/>
      <c r="E64" s="356"/>
      <c r="F64" s="356"/>
      <c r="G64" s="356"/>
      <c r="H64" s="356"/>
      <c r="I64" s="356"/>
      <c r="J64" s="356"/>
      <c r="K64" s="356"/>
      <c r="L64" s="356"/>
    </row>
    <row r="65" spans="1:12" x14ac:dyDescent="0.3">
      <c r="A65" s="1" t="s">
        <v>152</v>
      </c>
      <c r="B65" s="4" t="s">
        <v>127</v>
      </c>
      <c r="C65" s="4" t="s">
        <v>359</v>
      </c>
      <c r="D65" s="28">
        <v>311.45999999999998</v>
      </c>
      <c r="E65" s="28">
        <v>318.87</v>
      </c>
      <c r="F65" s="28">
        <v>325.35000000000002</v>
      </c>
      <c r="G65" s="28">
        <v>351.17</v>
      </c>
      <c r="H65" s="28">
        <v>351.17</v>
      </c>
      <c r="I65" s="28">
        <v>358.52</v>
      </c>
      <c r="J65" s="28">
        <v>391.33</v>
      </c>
      <c r="K65" s="28">
        <v>381.95</v>
      </c>
      <c r="L65" s="28">
        <v>395.2</v>
      </c>
    </row>
    <row r="66" spans="1:12" x14ac:dyDescent="0.3">
      <c r="B66" s="2" t="s">
        <v>185</v>
      </c>
      <c r="C66" s="2" t="s">
        <v>160</v>
      </c>
      <c r="D66" s="2">
        <v>2016</v>
      </c>
      <c r="E66" s="2">
        <v>2017</v>
      </c>
      <c r="F66" s="2">
        <v>2018</v>
      </c>
      <c r="G66" s="2">
        <v>2019</v>
      </c>
      <c r="H66" s="2">
        <v>2020</v>
      </c>
      <c r="I66" s="2">
        <v>2021</v>
      </c>
      <c r="J66" s="2">
        <v>2022</v>
      </c>
      <c r="K66" s="2">
        <v>2023</v>
      </c>
      <c r="L66" s="2">
        <v>2024</v>
      </c>
    </row>
    <row r="67" spans="1:12" x14ac:dyDescent="0.3">
      <c r="B67" s="2" t="s">
        <v>355</v>
      </c>
      <c r="C67" s="2" t="s">
        <v>303</v>
      </c>
      <c r="D67" s="2" t="s">
        <v>2</v>
      </c>
      <c r="E67" s="2" t="s">
        <v>2</v>
      </c>
      <c r="F67" s="2" t="s">
        <v>2</v>
      </c>
      <c r="G67" s="2" t="s">
        <v>2</v>
      </c>
      <c r="H67" s="2" t="s">
        <v>2</v>
      </c>
      <c r="I67" s="2" t="s">
        <v>2</v>
      </c>
      <c r="J67" s="2" t="s">
        <v>2</v>
      </c>
      <c r="K67" s="2" t="s">
        <v>2</v>
      </c>
      <c r="L67" s="2" t="s">
        <v>2</v>
      </c>
    </row>
    <row r="68" spans="1:12" x14ac:dyDescent="0.3">
      <c r="B68" s="12" t="s">
        <v>94</v>
      </c>
      <c r="C68" s="12" t="s">
        <v>103</v>
      </c>
      <c r="D68" s="13">
        <f>'éves P&amp;L_mérleg'!D70/D$65*1000</f>
        <v>44783.338813972907</v>
      </c>
      <c r="E68" s="13">
        <f>'éves P&amp;L_mérleg'!E70/E$65*1000</f>
        <v>57670.16110013485</v>
      </c>
      <c r="F68" s="13">
        <f>'éves P&amp;L_mérleg'!F70/F$65*1000</f>
        <v>57432.816966343933</v>
      </c>
      <c r="G68" s="13">
        <f>'éves P&amp;L_mérleg'!G70/G$65*1000</f>
        <v>72823.2771905345</v>
      </c>
      <c r="H68" s="13">
        <f>'éves P&amp;L_mérleg'!H70/H$65*1000</f>
        <v>93918.333001110572</v>
      </c>
      <c r="I68" s="13">
        <f>'éves P&amp;L_mérleg'!I70/I$65*1000</f>
        <v>123422.53709695414</v>
      </c>
      <c r="J68" s="13">
        <f>'éves P&amp;L_mérleg'!J70/J$65*1000</f>
        <v>263273.96315130452</v>
      </c>
      <c r="K68" s="13">
        <f>'éves P&amp;L_mérleg'!K70/K$65*1000</f>
        <v>259076.65139416157</v>
      </c>
      <c r="L68" s="13">
        <f>'éves P&amp;L_mérleg'!L70/L$65*1000</f>
        <v>266672.1634615385</v>
      </c>
    </row>
    <row r="69" spans="1:12" x14ac:dyDescent="0.3">
      <c r="B69" s="14" t="s">
        <v>129</v>
      </c>
      <c r="C69" s="14" t="s">
        <v>104</v>
      </c>
      <c r="D69" s="15">
        <f>'éves P&amp;L_mérleg'!D71/D$65*1000</f>
        <v>-29698.259140820654</v>
      </c>
      <c r="E69" s="15">
        <f>'éves P&amp;L_mérleg'!E71/E$65*1000</f>
        <v>-45806.708009533664</v>
      </c>
      <c r="F69" s="15">
        <f>'éves P&amp;L_mérleg'!F71/F$65*1000</f>
        <v>-43843.104349162437</v>
      </c>
      <c r="G69" s="15">
        <f>'éves P&amp;L_mérleg'!G71/G$65*1000</f>
        <v>-51860.545473702186</v>
      </c>
      <c r="H69" s="15">
        <f>'éves P&amp;L_mérleg'!H71/H$65*1000</f>
        <v>-65701.594669248501</v>
      </c>
      <c r="I69" s="15">
        <f>'éves P&amp;L_mérleg'!I71/I$65*1000</f>
        <v>-71472.843913868128</v>
      </c>
      <c r="J69" s="15">
        <f>'éves P&amp;L_mérleg'!J71/J$65*1000</f>
        <v>-180024.09475378838</v>
      </c>
      <c r="K69" s="15">
        <f>'éves P&amp;L_mérleg'!K71/K$65*1000</f>
        <v>-167218.43696818958</v>
      </c>
      <c r="L69" s="15">
        <f>'éves P&amp;L_mérleg'!L71/L$65*1000</f>
        <v>-176291.88006072878</v>
      </c>
    </row>
    <row r="70" spans="1:12" x14ac:dyDescent="0.3">
      <c r="B70" s="16" t="s">
        <v>105</v>
      </c>
      <c r="C70" s="16" t="s">
        <v>106</v>
      </c>
      <c r="D70" s="17">
        <f>'éves P&amp;L_mérleg'!D72/D$65*1000</f>
        <v>-7435.3625152507557</v>
      </c>
      <c r="E70" s="17">
        <f>'éves P&amp;L_mérleg'!E72/E$65*1000</f>
        <v>-6754.8610907266284</v>
      </c>
      <c r="F70" s="17">
        <f>'éves P&amp;L_mérleg'!F72/F$65*1000</f>
        <v>-7704.1155678500081</v>
      </c>
      <c r="G70" s="17">
        <f>'éves P&amp;L_mérleg'!G72/G$65*1000</f>
        <v>-8138.9757439416817</v>
      </c>
      <c r="H70" s="17">
        <f>'éves P&amp;L_mérleg'!H72/H$65*1000</f>
        <v>-10735.655095822534</v>
      </c>
      <c r="I70" s="17">
        <f>'éves P&amp;L_mérleg'!I72/I$65*1000</f>
        <v>-11693.174718286287</v>
      </c>
      <c r="J70" s="17">
        <f>'éves P&amp;L_mérleg'!J72/J$65*1000</f>
        <v>-15208.772647126467</v>
      </c>
      <c r="K70" s="17">
        <f>'éves P&amp;L_mérleg'!K72/K$65*1000</f>
        <v>-20621.311690011782</v>
      </c>
      <c r="L70" s="17">
        <f>'éves P&amp;L_mérleg'!L72/L$65*1000</f>
        <v>-27382.85172064777</v>
      </c>
    </row>
    <row r="71" spans="1:12" x14ac:dyDescent="0.3">
      <c r="B71" s="16" t="s">
        <v>107</v>
      </c>
      <c r="C71" s="16" t="s">
        <v>108</v>
      </c>
      <c r="D71" s="17">
        <f>'éves P&amp;L_mérleg'!D73/D$65*1000</f>
        <v>-1930.6877159185772</v>
      </c>
      <c r="E71" s="17">
        <f>'éves P&amp;L_mérleg'!E73/E$65*1000</f>
        <v>-1792.7841596889014</v>
      </c>
      <c r="F71" s="17">
        <f>'éves P&amp;L_mérleg'!F73/F$65*1000</f>
        <v>-2243.178115875211</v>
      </c>
      <c r="G71" s="17">
        <f>'éves P&amp;L_mérleg'!G73/G$65*1000</f>
        <v>-5825.5311045932167</v>
      </c>
      <c r="H71" s="17">
        <f>'éves P&amp;L_mérleg'!H73/H$65*1000</f>
        <v>-8139.9977219010734</v>
      </c>
      <c r="I71" s="17">
        <f>'éves P&amp;L_mérleg'!I73/I$65*1000</f>
        <v>-10980.333035813901</v>
      </c>
      <c r="J71" s="17">
        <f>'éves P&amp;L_mérleg'!J73/J$65*1000</f>
        <v>-9013.2675746812147</v>
      </c>
      <c r="K71" s="17">
        <f>'éves P&amp;L_mérleg'!K73/K$65*1000</f>
        <v>-11175.475847624035</v>
      </c>
      <c r="L71" s="17">
        <f>'éves P&amp;L_mérleg'!L73/L$65*1000</f>
        <v>-14023.757591093119</v>
      </c>
    </row>
    <row r="72" spans="1:12" x14ac:dyDescent="0.3">
      <c r="B72" s="16" t="s">
        <v>95</v>
      </c>
      <c r="C72" s="16" t="s">
        <v>109</v>
      </c>
      <c r="D72" s="17">
        <f>'éves P&amp;L_mérleg'!D74/D$65*1000</f>
        <v>-221.25239517112951</v>
      </c>
      <c r="E72" s="17">
        <f>'éves P&amp;L_mérleg'!E74/E$65*1000</f>
        <v>959.56593596136349</v>
      </c>
      <c r="F72" s="17">
        <f>'éves P&amp;L_mérleg'!F74/F$65*1000</f>
        <v>-451.31396957123098</v>
      </c>
      <c r="G72" s="17">
        <f>'éves P&amp;L_mérleg'!G74/G$65*1000</f>
        <v>-2290.2905145655945</v>
      </c>
      <c r="H72" s="17">
        <f>'éves P&amp;L_mérleg'!H74/H$65*1000</f>
        <v>-3496.9331093202723</v>
      </c>
      <c r="I72" s="17">
        <f>'éves P&amp;L_mérleg'!I74/I$65*1000</f>
        <v>-5008.381680240991</v>
      </c>
      <c r="J72" s="17">
        <f>'éves P&amp;L_mérleg'!J74/J$65*1000</f>
        <v>-17286.847417780391</v>
      </c>
      <c r="K72" s="17">
        <f>'éves P&amp;L_mérleg'!K74/K$65*1000</f>
        <v>-21772.29742112842</v>
      </c>
      <c r="L72" s="17">
        <f>'éves P&amp;L_mérleg'!L74/L$65*1000</f>
        <v>-16604.653340080971</v>
      </c>
    </row>
    <row r="73" spans="1:12" x14ac:dyDescent="0.3">
      <c r="B73" s="16" t="s">
        <v>110</v>
      </c>
      <c r="C73" s="16" t="s">
        <v>111</v>
      </c>
      <c r="D73" s="17">
        <f>'éves P&amp;L_mérleg'!D75/D$65*1000</f>
        <v>-735.09599948629045</v>
      </c>
      <c r="E73" s="17">
        <f>'éves P&amp;L_mérleg'!E75/E$65*1000</f>
        <v>-4.2337002540220148</v>
      </c>
      <c r="F73" s="17">
        <f>'éves P&amp;L_mérleg'!F75/F$65*1000</f>
        <v>0</v>
      </c>
      <c r="G73" s="17">
        <f>'éves P&amp;L_mérleg'!G75/G$65*1000</f>
        <v>0</v>
      </c>
      <c r="H73" s="17">
        <f>'éves P&amp;L_mérleg'!H75/H$65*1000</f>
        <v>0</v>
      </c>
      <c r="I73" s="17">
        <f>'éves P&amp;L_mérleg'!I75/I$65*1000</f>
        <v>0</v>
      </c>
      <c r="J73" s="17">
        <f>'éves P&amp;L_mérleg'!J75/J$65*1000</f>
        <v>0</v>
      </c>
      <c r="K73" s="17">
        <f>'éves P&amp;L_mérleg'!K75/K$65*1000</f>
        <v>0</v>
      </c>
      <c r="L73" s="17">
        <f>'éves P&amp;L_mérleg'!L75/L$65*1000</f>
        <v>0</v>
      </c>
    </row>
    <row r="74" spans="1:12" x14ac:dyDescent="0.3">
      <c r="B74" s="16" t="s">
        <v>278</v>
      </c>
      <c r="C74" s="16" t="s">
        <v>269</v>
      </c>
      <c r="D74" s="17">
        <f>'éves P&amp;L_mérleg'!D76/D$65*1000</f>
        <v>0</v>
      </c>
      <c r="E74" s="17">
        <f>'éves P&amp;L_mérleg'!E76/E$65*1000</f>
        <v>0</v>
      </c>
      <c r="F74" s="17">
        <f>'éves P&amp;L_mérleg'!F76/F$65*1000</f>
        <v>0</v>
      </c>
      <c r="G74" s="17">
        <f>'éves P&amp;L_mérleg'!G76/G$65*1000</f>
        <v>0</v>
      </c>
      <c r="H74" s="17">
        <f>'éves P&amp;L_mérleg'!H76/H$65*1000</f>
        <v>1458.6268758720846</v>
      </c>
      <c r="I74" s="17">
        <f>'éves P&amp;L_mérleg'!I76/I$65*1000</f>
        <v>677.30112685484767</v>
      </c>
      <c r="J74" s="17">
        <f>'éves P&amp;L_mérleg'!J76/J$65*1000</f>
        <v>917.16709682365274</v>
      </c>
      <c r="K74" s="17">
        <f>'éves P&amp;L_mérleg'!K76/K$65*1000</f>
        <v>1410.0431993716456</v>
      </c>
      <c r="L74" s="17">
        <f>'éves P&amp;L_mérleg'!L76/L$65*1000</f>
        <v>1806.0678137651823</v>
      </c>
    </row>
    <row r="75" spans="1:12" x14ac:dyDescent="0.3">
      <c r="B75" s="18" t="s">
        <v>112</v>
      </c>
      <c r="C75" s="18" t="s">
        <v>113</v>
      </c>
      <c r="D75" s="19">
        <f>'éves P&amp;L_mérleg'!D77/D$65*1000</f>
        <v>4762.6810473254991</v>
      </c>
      <c r="E75" s="19">
        <f>'éves P&amp;L_mérleg'!E77/E$65*1000</f>
        <v>4271.1400758929976</v>
      </c>
      <c r="F75" s="19">
        <f>'éves P&amp;L_mérleg'!F77/F$65*1000</f>
        <v>3191.1049638850477</v>
      </c>
      <c r="G75" s="19">
        <f>'éves P&amp;L_mérleg'!G77/G$65*1000</f>
        <v>4707.9343537318127</v>
      </c>
      <c r="H75" s="19">
        <f>'éves P&amp;L_mérleg'!H77/H$65*1000</f>
        <v>7302.7792806902626</v>
      </c>
      <c r="I75" s="19">
        <f>'éves P&amp;L_mérleg'!I77/I$65*1000</f>
        <v>24945.104875599678</v>
      </c>
      <c r="J75" s="19">
        <f>'éves P&amp;L_mérleg'!J77/J$65*1000</f>
        <v>42658.147854751747</v>
      </c>
      <c r="K75" s="19">
        <f>'éves P&amp;L_mérleg'!K77/K$65*1000</f>
        <v>39699.17266657939</v>
      </c>
      <c r="L75" s="19">
        <f>'éves P&amp;L_mérleg'!L77/L$65*1000</f>
        <v>34175.088562753037</v>
      </c>
    </row>
    <row r="76" spans="1:12" x14ac:dyDescent="0.3">
      <c r="B76" s="16" t="s">
        <v>114</v>
      </c>
      <c r="C76" s="16" t="s">
        <v>115</v>
      </c>
      <c r="D76" s="17">
        <f>'éves P&amp;L_mérleg'!D78/D$65*1000</f>
        <v>-1463.187051306749</v>
      </c>
      <c r="E76" s="17">
        <f>'éves P&amp;L_mérleg'!E78/E$65*1000</f>
        <v>-1032.1103615893626</v>
      </c>
      <c r="F76" s="17">
        <f>'éves P&amp;L_mérleg'!F78/F$65*1000</f>
        <v>-714.10173659136308</v>
      </c>
      <c r="G76" s="17">
        <f>'éves P&amp;L_mérleg'!G78/G$65*1000</f>
        <v>-2687.6449867585497</v>
      </c>
      <c r="H76" s="17">
        <f>'éves P&amp;L_mérleg'!H78/H$65*1000</f>
        <v>-3104.8096363584586</v>
      </c>
      <c r="I76" s="17">
        <f>'éves P&amp;L_mérleg'!I78/I$65*1000</f>
        <v>-5218.8190338056456</v>
      </c>
      <c r="J76" s="17">
        <f>'éves P&amp;L_mérleg'!J78/J$65*1000</f>
        <v>-2393.7111900442087</v>
      </c>
      <c r="K76" s="17">
        <f>'éves P&amp;L_mérleg'!K78/K$65*1000</f>
        <v>1883.8329624296373</v>
      </c>
      <c r="L76" s="17">
        <f>'éves P&amp;L_mérleg'!L78/L$65*1000</f>
        <v>-1352.2975708502024</v>
      </c>
    </row>
    <row r="77" spans="1:12" x14ac:dyDescent="0.3">
      <c r="B77" s="20" t="s">
        <v>96</v>
      </c>
      <c r="C77" s="20" t="s">
        <v>116</v>
      </c>
      <c r="D77" s="19">
        <f>'éves P&amp;L_mérleg'!D79/D$65*1000</f>
        <v>3299.4939960187498</v>
      </c>
      <c r="E77" s="19">
        <f>'éves P&amp;L_mérleg'!E79/E$65*1000</f>
        <v>3239.0297143036355</v>
      </c>
      <c r="F77" s="19">
        <f>'éves P&amp;L_mérleg'!F79/F$65*1000</f>
        <v>2477.0032272936846</v>
      </c>
      <c r="G77" s="19">
        <f>'éves P&amp;L_mérleg'!G79/G$65*1000</f>
        <v>2020.2893669732625</v>
      </c>
      <c r="H77" s="19">
        <f>'éves P&amp;L_mérleg'!H79/H$65*1000</f>
        <v>4197.9696443318026</v>
      </c>
      <c r="I77" s="19">
        <f>'éves P&amp;L_mérleg'!I79/I$65*1000</f>
        <v>19726.285841794033</v>
      </c>
      <c r="J77" s="19">
        <f>'éves P&amp;L_mérleg'!J79/J$65*1000</f>
        <v>40264.436664707537</v>
      </c>
      <c r="K77" s="19">
        <f>'éves P&amp;L_mérleg'!K79/K$65*1000</f>
        <v>41583.005629009036</v>
      </c>
      <c r="L77" s="19">
        <f>'éves P&amp;L_mérleg'!L79/L$65*1000</f>
        <v>32822.790991902832</v>
      </c>
    </row>
    <row r="78" spans="1:12" x14ac:dyDescent="0.3">
      <c r="B78" s="16" t="s">
        <v>97</v>
      </c>
      <c r="C78" s="16" t="s">
        <v>117</v>
      </c>
      <c r="D78" s="17">
        <f>'éves P&amp;L_mérleg'!D80/D$65*1000</f>
        <v>-657.34010466833627</v>
      </c>
      <c r="E78" s="17">
        <f>'éves P&amp;L_mérleg'!E80/E$65*1000</f>
        <v>-369.66386301627625</v>
      </c>
      <c r="F78" s="17">
        <f>'éves P&amp;L_mérleg'!F80/F$65*1000</f>
        <v>-847.74550484094061</v>
      </c>
      <c r="G78" s="17">
        <f>'éves P&amp;L_mérleg'!G80/G$65*1000</f>
        <v>-1241.0925506165104</v>
      </c>
      <c r="H78" s="17">
        <f>'éves P&amp;L_mérleg'!H80/H$65*1000</f>
        <v>-2516.3311216789584</v>
      </c>
      <c r="I78" s="17">
        <f>'éves P&amp;L_mérleg'!I80/I$65*1000</f>
        <v>-3388.4246346089481</v>
      </c>
      <c r="J78" s="17">
        <f>'éves P&amp;L_mérleg'!J80/J$65*1000</f>
        <v>-7444.9799402039198</v>
      </c>
      <c r="K78" s="17">
        <f>'éves P&amp;L_mérleg'!K80/K$65*1000</f>
        <v>-8169.9568006283534</v>
      </c>
      <c r="L78" s="17">
        <f>'éves P&amp;L_mérleg'!L80/L$65*1000</f>
        <v>-8470.4251012145742</v>
      </c>
    </row>
    <row r="79" spans="1:12" x14ac:dyDescent="0.3">
      <c r="B79" s="51" t="s">
        <v>158</v>
      </c>
      <c r="C79" s="27" t="s">
        <v>159</v>
      </c>
      <c r="D79" s="17">
        <f>'éves P&amp;L_mérleg'!D81/D$65*1000</f>
        <v>0</v>
      </c>
      <c r="E79" s="17">
        <f>'éves P&amp;L_mérleg'!E81/E$65*1000</f>
        <v>-426.50609966444006</v>
      </c>
      <c r="F79" s="17">
        <f>'éves P&amp;L_mérleg'!F81/F$65*1000</f>
        <v>-651.60596280928235</v>
      </c>
      <c r="G79" s="17">
        <f>'éves P&amp;L_mérleg'!G81/G$65*1000</f>
        <v>-990.0731839280121</v>
      </c>
      <c r="H79" s="17">
        <f>'éves P&amp;L_mérleg'!H81/H$65*1000</f>
        <v>-1190.2098698635987</v>
      </c>
      <c r="I79" s="17">
        <f>'éves P&amp;L_mérleg'!I81/I$65*1000</f>
        <v>-1165.8094388039719</v>
      </c>
      <c r="J79" s="17">
        <f>'éves P&amp;L_mérleg'!J81/J$65*1000</f>
        <v>-3089.4130273682058</v>
      </c>
      <c r="K79" s="17">
        <f>'éves P&amp;L_mérleg'!K81/K$65*1000</f>
        <v>0</v>
      </c>
      <c r="L79" s="17">
        <f>'éves P&amp;L_mérleg'!L81/L$65*1000</f>
        <v>0</v>
      </c>
    </row>
    <row r="80" spans="1:12" x14ac:dyDescent="0.3">
      <c r="B80" s="20" t="s">
        <v>98</v>
      </c>
      <c r="C80" s="20" t="s">
        <v>118</v>
      </c>
      <c r="D80" s="19">
        <f>'éves P&amp;L_mérleg'!D82/D$65*1000</f>
        <v>2642.1538913504132</v>
      </c>
      <c r="E80" s="19">
        <f>'éves P&amp;L_mérleg'!E82/E$65*1000</f>
        <v>2869.365851287359</v>
      </c>
      <c r="F80" s="19">
        <f>'éves P&amp;L_mérleg'!F82/F$65*1000</f>
        <v>1629.2577224527442</v>
      </c>
      <c r="G80" s="19">
        <f>'éves P&amp;L_mérleg'!G82/G$65*1000</f>
        <v>779.19681635675181</v>
      </c>
      <c r="H80" s="19">
        <f>'éves P&amp;L_mérleg'!H82/H$65*1000</f>
        <v>1681.6385226528444</v>
      </c>
      <c r="I80" s="19">
        <f>'éves P&amp;L_mérleg'!I82/I$65*1000</f>
        <v>16337.861207185086</v>
      </c>
      <c r="J80" s="19">
        <f>'éves P&amp;L_mérleg'!J82/J$65*1000</f>
        <v>32819.456724503616</v>
      </c>
      <c r="K80" s="19">
        <f>'éves P&amp;L_mérleg'!K82/K$65*1000</f>
        <v>33413.048828380684</v>
      </c>
      <c r="L80" s="19">
        <f>'éves P&amp;L_mérleg'!L82/L$65*1000</f>
        <v>24352.365890688263</v>
      </c>
    </row>
    <row r="81" spans="2:12" x14ac:dyDescent="0.3">
      <c r="B81" s="21" t="s">
        <v>99</v>
      </c>
      <c r="C81" s="16" t="s">
        <v>119</v>
      </c>
      <c r="D81" s="17">
        <f>'éves P&amp;L_mérleg'!D83/D$65*1000</f>
        <v>2337.711312577489</v>
      </c>
      <c r="E81" s="17">
        <f>'éves P&amp;L_mérleg'!E83/E$65*1000</f>
        <v>2861.7491987330263</v>
      </c>
      <c r="F81" s="17">
        <f>'éves P&amp;L_mérleg'!F83/F$65*1000</f>
        <v>1571.2863070539418</v>
      </c>
      <c r="G81" s="17">
        <f>'éves P&amp;L_mérleg'!G83/G$65*1000</f>
        <v>770.89884101716575</v>
      </c>
      <c r="H81" s="17">
        <f>'éves P&amp;L_mérleg'!H83/H$65*1000</f>
        <v>1670.5954381068998</v>
      </c>
      <c r="I81" s="17">
        <f>'éves P&amp;L_mérleg'!I83/I$65*1000</f>
        <v>16331.540778757113</v>
      </c>
      <c r="J81" s="17">
        <f>'éves P&amp;L_mérleg'!J83/J$65*1000</f>
        <v>32933.567577236601</v>
      </c>
      <c r="K81" s="17">
        <f>'éves P&amp;L_mérleg'!K83/K$65*1000</f>
        <v>33521.345725880354</v>
      </c>
      <c r="L81" s="17">
        <f>'éves P&amp;L_mérleg'!L83/L$65*1000</f>
        <v>24352.226720647774</v>
      </c>
    </row>
    <row r="82" spans="2:12" x14ac:dyDescent="0.3">
      <c r="B82" s="22" t="s">
        <v>120</v>
      </c>
      <c r="C82" s="22" t="s">
        <v>121</v>
      </c>
      <c r="D82" s="23">
        <f>'éves P&amp;L_mérleg'!D84/D$65*1000</f>
        <v>304.44257877292546</v>
      </c>
      <c r="E82" s="23">
        <f>'éves P&amp;L_mérleg'!E84/E$65*1000</f>
        <v>7.6166525543324868</v>
      </c>
      <c r="F82" s="23">
        <f>'éves P&amp;L_mérleg'!F84/F$65*1000</f>
        <v>57.971415398801291</v>
      </c>
      <c r="G82" s="23">
        <f>'éves P&amp;L_mérleg'!G84/G$65*1000</f>
        <v>8.2979753395791214</v>
      </c>
      <c r="H82" s="23">
        <f>'éves P&amp;L_mérleg'!H84/H$65*1000</f>
        <v>11.043084545946408</v>
      </c>
      <c r="I82" s="23">
        <f>'éves P&amp;L_mérleg'!I84/I$65*1000</f>
        <v>6.3204284279817022</v>
      </c>
      <c r="J82" s="23">
        <f>'éves P&amp;L_mérleg'!J84/J$65*1000</f>
        <v>-113.97541716709682</v>
      </c>
      <c r="K82" s="23">
        <f>'éves P&amp;L_mérleg'!K84/K$65*1000</f>
        <v>-108.29689749967272</v>
      </c>
      <c r="L82" s="23">
        <f>'éves P&amp;L_mérleg'!L84/L$65*1000</f>
        <v>0</v>
      </c>
    </row>
    <row r="83" spans="2:12" ht="15" thickBot="1" x14ac:dyDescent="0.35">
      <c r="B83" s="16" t="s">
        <v>122</v>
      </c>
      <c r="C83" s="16" t="s">
        <v>123</v>
      </c>
      <c r="D83" s="17">
        <f>'éves P&amp;L_mérleg'!D85/D$65*1000</f>
        <v>1757.8852088525009</v>
      </c>
      <c r="E83" s="17">
        <f>'éves P&amp;L_mérleg'!E85/E$65*1000</f>
        <v>-1503.8859692037506</v>
      </c>
      <c r="F83" s="17">
        <f>'éves P&amp;L_mérleg'!F85/F$65*1000</f>
        <v>-798.00829875518662</v>
      </c>
      <c r="G83" s="17">
        <f>'éves P&amp;L_mérleg'!G85/G$65*1000</f>
        <v>-4031.2384315288891</v>
      </c>
      <c r="H83" s="17">
        <f>'éves P&amp;L_mérleg'!H85/H$65*1000</f>
        <v>6020.7079192413921</v>
      </c>
      <c r="I83" s="17">
        <f>'éves P&amp;L_mérleg'!I85/I$65*1000</f>
        <v>13685.791587638068</v>
      </c>
      <c r="J83" s="17">
        <f>'éves P&amp;L_mérleg'!J85/J$65*1000</f>
        <v>-8272.2663736488394</v>
      </c>
      <c r="K83" s="17">
        <f>'éves P&amp;L_mérleg'!K85/K$65*1000</f>
        <v>-11672.389056159185</v>
      </c>
      <c r="L83" s="17">
        <f>'éves P&amp;L_mérleg'!L85/L$65*1000</f>
        <v>9779.8582995951419</v>
      </c>
    </row>
    <row r="84" spans="2:12" ht="15.6" thickTop="1" thickBot="1" x14ac:dyDescent="0.35">
      <c r="B84" s="24" t="s">
        <v>100</v>
      </c>
      <c r="C84" s="24" t="s">
        <v>124</v>
      </c>
      <c r="D84" s="25">
        <f>'éves P&amp;L_mérleg'!D86/D$65*1000</f>
        <v>4400.0391002029146</v>
      </c>
      <c r="E84" s="25">
        <f>'éves P&amp;L_mérleg'!E86/E$65*1000</f>
        <v>1365.4798820836081</v>
      </c>
      <c r="F84" s="25">
        <f>'éves P&amp;L_mérleg'!F86/F$65*1000</f>
        <v>831.24942369755763</v>
      </c>
      <c r="G84" s="25">
        <f>'éves P&amp;L_mérleg'!G86/G$65*1000</f>
        <v>-3252.0416151721374</v>
      </c>
      <c r="H84" s="25">
        <f>'éves P&amp;L_mérleg'!H86/H$65*1000</f>
        <v>7702.3464418942358</v>
      </c>
      <c r="I84" s="25">
        <f>'éves P&amp;L_mérleg'!I86/I$65*1000</f>
        <v>30023.652794823152</v>
      </c>
      <c r="J84" s="25">
        <f>'éves P&amp;L_mérleg'!J86/J$65*1000</f>
        <v>24547.19035085478</v>
      </c>
      <c r="K84" s="25">
        <f>'éves P&amp;L_mérleg'!K86/K$65*1000</f>
        <v>21740.659772221497</v>
      </c>
      <c r="L84" s="25">
        <f>'éves P&amp;L_mérleg'!L86/L$65*1000</f>
        <v>34132.224190283399</v>
      </c>
    </row>
    <row r="85" spans="2:12" ht="15" thickTop="1" x14ac:dyDescent="0.3">
      <c r="B85" s="16" t="s">
        <v>99</v>
      </c>
      <c r="C85" s="16" t="s">
        <v>119</v>
      </c>
      <c r="D85" s="17">
        <f>'éves P&amp;L_mérleg'!D87/D$65*1000</f>
        <v>4095.5965214299895</v>
      </c>
      <c r="E85" s="17">
        <f>'éves P&amp;L_mérleg'!E87/E$65*1000</f>
        <v>1357.8632295292753</v>
      </c>
      <c r="F85" s="17">
        <f>'éves P&amp;L_mérleg'!F87/F$65*1000</f>
        <v>773.27800829875514</v>
      </c>
      <c r="G85" s="17">
        <f>'éves P&amp;L_mérleg'!G87/G$65*1000</f>
        <v>0</v>
      </c>
      <c r="H85" s="17">
        <f>'éves P&amp;L_mérleg'!H87/H$65*1000</f>
        <v>0</v>
      </c>
      <c r="I85" s="17">
        <f>'éves P&amp;L_mérleg'!I87/I$65*1000</f>
        <v>0</v>
      </c>
      <c r="J85" s="17">
        <f>'éves P&amp;L_mérleg'!J87/J$65*1000</f>
        <v>24662.049932282218</v>
      </c>
      <c r="K85" s="17">
        <f>'éves P&amp;L_mérleg'!K87/K$65*1000</f>
        <v>21848.409477680325</v>
      </c>
      <c r="L85" s="17">
        <f>'éves P&amp;L_mérleg'!L87/L$65*1000</f>
        <v>21115.890688259111</v>
      </c>
    </row>
    <row r="86" spans="2:12" ht="15" thickBot="1" x14ac:dyDescent="0.35">
      <c r="B86" s="16" t="s">
        <v>120</v>
      </c>
      <c r="C86" s="22" t="s">
        <v>121</v>
      </c>
      <c r="D86" s="17">
        <f>'éves P&amp;L_mérleg'!D88/D$65*1000</f>
        <v>304.44257877292546</v>
      </c>
      <c r="E86" s="17">
        <f>'éves P&amp;L_mérleg'!E88/E$65*1000</f>
        <v>7.6166525543324868</v>
      </c>
      <c r="F86" s="17">
        <f>'éves P&amp;L_mérleg'!F88/F$65*1000</f>
        <v>57.971415398801291</v>
      </c>
      <c r="G86" s="17">
        <f>'éves P&amp;L_mérleg'!G88/G$65*1000</f>
        <v>0</v>
      </c>
      <c r="H86" s="17">
        <f>'éves P&amp;L_mérleg'!H88/H$65*1000</f>
        <v>0</v>
      </c>
      <c r="I86" s="17">
        <f>'éves P&amp;L_mérleg'!I88/I$65*1000</f>
        <v>0</v>
      </c>
      <c r="J86" s="17">
        <f>'éves P&amp;L_mérleg'!J88/J$65*1000</f>
        <v>-114.99246160529476</v>
      </c>
      <c r="K86" s="17">
        <f>'éves P&amp;L_mérleg'!K88/K$65*1000</f>
        <v>-107.34389317973557</v>
      </c>
      <c r="L86" s="17">
        <f>'éves P&amp;L_mérleg'!L88/L$65*1000</f>
        <v>-103.74493927125506</v>
      </c>
    </row>
    <row r="87" spans="2:12" ht="15.6" thickTop="1" thickBot="1" x14ac:dyDescent="0.35">
      <c r="B87" s="24" t="s">
        <v>101</v>
      </c>
      <c r="C87" s="24" t="s">
        <v>101</v>
      </c>
      <c r="D87" s="25">
        <f>'éves P&amp;L_mérleg'!D89/D$65*1000</f>
        <v>7428.4647627303657</v>
      </c>
      <c r="E87" s="25">
        <f>'éves P&amp;L_mérleg'!E89/E$65*1000</f>
        <v>6068.1579358359204</v>
      </c>
      <c r="F87" s="25">
        <f>'éves P&amp;L_mérleg'!F89/F$65*1000</f>
        <v>5534.2461964038721</v>
      </c>
      <c r="G87" s="25">
        <f>'éves P&amp;L_mérleg'!G89/G$65*1000</f>
        <v>10761.682376057179</v>
      </c>
      <c r="H87" s="25">
        <f>'éves P&amp;L_mérleg'!H89/H$65*1000</f>
        <v>15696.101603212119</v>
      </c>
      <c r="I87" s="25">
        <f>'éves P&amp;L_mérleg'!I89/I$65*1000</f>
        <v>35925.437911413588</v>
      </c>
      <c r="J87" s="25">
        <f>'éves P&amp;L_mérleg'!J89/J$65*1000</f>
        <v>51671.550864998855</v>
      </c>
      <c r="K87" s="25">
        <f>'éves P&amp;L_mérleg'!K89/K$65*1000</f>
        <v>50875.769079722479</v>
      </c>
      <c r="L87" s="25">
        <f>'éves P&amp;L_mérleg'!L89/L$65*1000</f>
        <v>48198.380566801614</v>
      </c>
    </row>
    <row r="88" spans="2:12" ht="15" thickTop="1" x14ac:dyDescent="0.3">
      <c r="B88" s="26"/>
      <c r="C88" s="26"/>
      <c r="D88" s="26"/>
    </row>
    <row r="89" spans="2:12" x14ac:dyDescent="0.3">
      <c r="B89" s="4"/>
      <c r="C8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B84A-AA83-4A05-8D18-814F868FC511}">
  <sheetPr codeName="Munka2"/>
  <dimension ref="A3:L118"/>
  <sheetViews>
    <sheetView topLeftCell="A21" zoomScale="70" zoomScaleNormal="70" workbookViewId="0">
      <selection activeCell="E42" sqref="E42"/>
    </sheetView>
  </sheetViews>
  <sheetFormatPr defaultColWidth="8.77734375" defaultRowHeight="14.4" x14ac:dyDescent="0.3"/>
  <cols>
    <col min="2" max="3" width="36.44140625" style="56" customWidth="1"/>
    <col min="4" max="4" width="13.33203125" customWidth="1"/>
    <col min="5" max="5" width="13.6640625" customWidth="1"/>
    <col min="6" max="11" width="14" customWidth="1"/>
    <col min="12" max="12" width="13.44140625" customWidth="1"/>
  </cols>
  <sheetData>
    <row r="3" spans="2:11" x14ac:dyDescent="0.3">
      <c r="B3" s="57" t="s">
        <v>185</v>
      </c>
      <c r="C3" s="57" t="s">
        <v>184</v>
      </c>
      <c r="D3" s="67" t="s">
        <v>128</v>
      </c>
      <c r="E3" s="67" t="s">
        <v>102</v>
      </c>
      <c r="F3" s="67" t="s">
        <v>161</v>
      </c>
      <c r="G3" s="67" t="s">
        <v>262</v>
      </c>
      <c r="H3" s="67" t="s">
        <v>298</v>
      </c>
      <c r="I3" s="67" t="s">
        <v>308</v>
      </c>
      <c r="J3" s="67" t="s">
        <v>324</v>
      </c>
      <c r="K3" s="67" t="s">
        <v>350</v>
      </c>
    </row>
    <row r="4" spans="2:11" x14ac:dyDescent="0.3">
      <c r="B4" s="57" t="s">
        <v>125</v>
      </c>
      <c r="C4" s="57" t="s">
        <v>126</v>
      </c>
      <c r="D4" s="100" t="s">
        <v>130</v>
      </c>
      <c r="E4" s="100" t="s">
        <v>130</v>
      </c>
      <c r="F4" s="100" t="s">
        <v>130</v>
      </c>
      <c r="G4" s="100" t="s">
        <v>130</v>
      </c>
      <c r="H4" s="100" t="s">
        <v>130</v>
      </c>
      <c r="I4" s="100" t="s">
        <v>130</v>
      </c>
      <c r="J4" s="100" t="s">
        <v>130</v>
      </c>
      <c r="K4" s="100" t="s">
        <v>130</v>
      </c>
    </row>
    <row r="5" spans="2:11" ht="14.55" customHeight="1" x14ac:dyDescent="0.3">
      <c r="B5" s="58" t="s">
        <v>94</v>
      </c>
      <c r="C5" s="58" t="s">
        <v>103</v>
      </c>
      <c r="D5" s="73">
        <v>8634.77</v>
      </c>
      <c r="E5" s="68">
        <v>9276.6434790000003</v>
      </c>
      <c r="F5" s="73">
        <v>12141.442588</v>
      </c>
      <c r="G5" s="68">
        <v>16163.527</v>
      </c>
      <c r="H5" s="73">
        <v>19781</v>
      </c>
      <c r="I5" s="68">
        <v>37988</v>
      </c>
      <c r="J5" s="73">
        <v>58853.546000000002</v>
      </c>
      <c r="K5" s="68">
        <v>49787.264000000003</v>
      </c>
    </row>
    <row r="6" spans="2:11" x14ac:dyDescent="0.3">
      <c r="B6" s="59" t="s">
        <v>129</v>
      </c>
      <c r="C6" s="59" t="s">
        <v>104</v>
      </c>
      <c r="D6" s="74">
        <v>-6551.1670000000004</v>
      </c>
      <c r="E6" s="69">
        <v>-7213.7795980000001</v>
      </c>
      <c r="F6" s="74">
        <v>-8379.8780210000004</v>
      </c>
      <c r="G6" s="69">
        <v>-10936.562</v>
      </c>
      <c r="H6" s="74">
        <v>-10983</v>
      </c>
      <c r="I6" s="69">
        <v>-22015</v>
      </c>
      <c r="J6" s="74">
        <v>-37944.813999999998</v>
      </c>
      <c r="K6" s="69">
        <v>-32015.133000000002</v>
      </c>
    </row>
    <row r="7" spans="2:11" x14ac:dyDescent="0.3">
      <c r="B7" s="60" t="s">
        <v>105</v>
      </c>
      <c r="C7" s="60" t="s">
        <v>106</v>
      </c>
      <c r="D7" s="75">
        <v>-1107.2819999999999</v>
      </c>
      <c r="E7" s="70">
        <v>-1245.3993559999999</v>
      </c>
      <c r="F7" s="75">
        <v>-1290.5134969999999</v>
      </c>
      <c r="G7" s="70">
        <v>-1557.479</v>
      </c>
      <c r="H7" s="75">
        <v>-2189</v>
      </c>
      <c r="I7" s="70">
        <v>-2526</v>
      </c>
      <c r="J7" s="75">
        <v>-3730.8319999999999</v>
      </c>
      <c r="K7" s="70">
        <v>-5095.6610000000001</v>
      </c>
    </row>
    <row r="8" spans="2:11" x14ac:dyDescent="0.3">
      <c r="B8" s="60" t="s">
        <v>107</v>
      </c>
      <c r="C8" s="60" t="s">
        <v>108</v>
      </c>
      <c r="D8" s="75">
        <v>-284.24700000000001</v>
      </c>
      <c r="E8" s="70">
        <v>-336.25823700000001</v>
      </c>
      <c r="F8" s="75">
        <v>-908.34394999999995</v>
      </c>
      <c r="G8" s="70">
        <v>-1303.088</v>
      </c>
      <c r="H8" s="75">
        <v>-2187</v>
      </c>
      <c r="I8" s="70">
        <v>-1955</v>
      </c>
      <c r="J8" s="75">
        <v>-2088.0189999999998</v>
      </c>
      <c r="K8" s="70">
        <v>-2222.12</v>
      </c>
    </row>
    <row r="9" spans="2:11" x14ac:dyDescent="0.3">
      <c r="B9" s="60" t="s">
        <v>95</v>
      </c>
      <c r="C9" s="60" t="s">
        <v>109</v>
      </c>
      <c r="D9" s="75">
        <v>287.04899999999998</v>
      </c>
      <c r="E9" s="70">
        <v>118.66872499999999</v>
      </c>
      <c r="F9" s="75">
        <v>-348.20757500000002</v>
      </c>
      <c r="G9" s="70">
        <v>-532.10900000000004</v>
      </c>
      <c r="H9" s="75">
        <v>-528</v>
      </c>
      <c r="I9" s="70">
        <v>-1796.4</v>
      </c>
      <c r="J9" s="75">
        <v>-4707.607</v>
      </c>
      <c r="K9" s="70">
        <v>-3275.509</v>
      </c>
    </row>
    <row r="10" spans="2:11" x14ac:dyDescent="0.3">
      <c r="B10" s="60" t="s">
        <v>110</v>
      </c>
      <c r="C10" s="60" t="s">
        <v>111</v>
      </c>
      <c r="D10" s="75"/>
      <c r="E10" s="70">
        <v>-22.455480999999999</v>
      </c>
      <c r="F10" s="75">
        <v>-80.143831000000006</v>
      </c>
      <c r="G10" s="70">
        <v>-0.38100000000000001</v>
      </c>
      <c r="H10" s="75"/>
      <c r="I10" s="70"/>
      <c r="J10" s="75"/>
      <c r="K10" s="70"/>
    </row>
    <row r="11" spans="2:11" x14ac:dyDescent="0.3">
      <c r="B11" s="16" t="s">
        <v>278</v>
      </c>
      <c r="C11" s="60" t="s">
        <v>269</v>
      </c>
      <c r="D11" s="75"/>
      <c r="E11" s="70"/>
      <c r="F11" s="75"/>
      <c r="G11" s="70"/>
      <c r="H11" s="75">
        <v>133</v>
      </c>
      <c r="I11" s="70">
        <v>156.5</v>
      </c>
      <c r="J11" s="75">
        <v>296.03500000000003</v>
      </c>
      <c r="K11" s="70">
        <v>362.4</v>
      </c>
    </row>
    <row r="12" spans="2:11" x14ac:dyDescent="0.3">
      <c r="B12" s="53" t="s">
        <v>112</v>
      </c>
      <c r="C12" s="53" t="s">
        <v>113</v>
      </c>
      <c r="D12" s="76">
        <f>SUM(D5:D10)</f>
        <v>979.12300000000005</v>
      </c>
      <c r="E12" s="19">
        <f>SUM(E5:E10)</f>
        <v>577.41953200000034</v>
      </c>
      <c r="F12" s="76">
        <f>SUM(F5:F10)</f>
        <v>1134.3557139999996</v>
      </c>
      <c r="G12" s="19">
        <f>SUM(G5:G11)</f>
        <v>1833.9080000000001</v>
      </c>
      <c r="H12" s="76">
        <f>SUM(H5:H11)</f>
        <v>4027</v>
      </c>
      <c r="I12" s="19">
        <f>SUM(I5:I11)</f>
        <v>9852.1</v>
      </c>
      <c r="J12" s="76">
        <f>SUM(J5:J11)</f>
        <v>10678.309000000005</v>
      </c>
      <c r="K12" s="19">
        <f>SUM(K5:K11)</f>
        <v>7541.2410000000018</v>
      </c>
    </row>
    <row r="13" spans="2:11" x14ac:dyDescent="0.3">
      <c r="B13" s="60" t="s">
        <v>114</v>
      </c>
      <c r="C13" s="60" t="s">
        <v>115</v>
      </c>
      <c r="D13" s="75">
        <v>-176.41499999999999</v>
      </c>
      <c r="E13" s="70">
        <v>-25.957788999999998</v>
      </c>
      <c r="F13" s="75">
        <v>-361.33734099999998</v>
      </c>
      <c r="G13" s="70">
        <v>-312</v>
      </c>
      <c r="H13" s="75">
        <v>-565</v>
      </c>
      <c r="I13" s="70">
        <v>-356</v>
      </c>
      <c r="J13" s="75">
        <v>384.31700000000001</v>
      </c>
      <c r="K13" s="70">
        <v>-147</v>
      </c>
    </row>
    <row r="14" spans="2:11" x14ac:dyDescent="0.3">
      <c r="B14" s="54" t="s">
        <v>96</v>
      </c>
      <c r="C14" s="54" t="s">
        <v>116</v>
      </c>
      <c r="D14" s="76">
        <f t="shared" ref="D14:I14" si="0">+D12+D13</f>
        <v>802.70800000000008</v>
      </c>
      <c r="E14" s="19">
        <f t="shared" si="0"/>
        <v>551.4617430000003</v>
      </c>
      <c r="F14" s="76">
        <f t="shared" si="0"/>
        <v>773.01837299999966</v>
      </c>
      <c r="G14" s="19">
        <f t="shared" si="0"/>
        <v>1521.9080000000001</v>
      </c>
      <c r="H14" s="76">
        <f t="shared" si="0"/>
        <v>3462</v>
      </c>
      <c r="I14" s="19">
        <f t="shared" si="0"/>
        <v>9496.1</v>
      </c>
      <c r="J14" s="76">
        <f t="shared" ref="J14:K14" si="1">+J12+J13</f>
        <v>11062.626000000004</v>
      </c>
      <c r="K14" s="19">
        <f t="shared" si="1"/>
        <v>7394.2410000000018</v>
      </c>
    </row>
    <row r="15" spans="2:11" x14ac:dyDescent="0.3">
      <c r="B15" s="60" t="s">
        <v>97</v>
      </c>
      <c r="C15" s="60" t="s">
        <v>117</v>
      </c>
      <c r="D15" s="75">
        <v>-215.85499999999999</v>
      </c>
      <c r="E15" s="70">
        <v>-200.574298</v>
      </c>
      <c r="F15" s="75">
        <v>-289.70930399999997</v>
      </c>
      <c r="G15" s="70">
        <v>-458</v>
      </c>
      <c r="H15" s="75">
        <v>-642</v>
      </c>
      <c r="I15" s="70">
        <v>-1425</v>
      </c>
      <c r="J15" s="75">
        <v>-2189.9830000000002</v>
      </c>
      <c r="K15" s="70">
        <v>-1547</v>
      </c>
    </row>
    <row r="16" spans="2:11" x14ac:dyDescent="0.3">
      <c r="B16" s="200" t="s">
        <v>264</v>
      </c>
      <c r="C16" s="201" t="s">
        <v>265</v>
      </c>
      <c r="D16" s="75"/>
      <c r="E16" s="70"/>
      <c r="F16" s="75"/>
      <c r="G16" s="70"/>
      <c r="H16" s="75"/>
      <c r="I16" s="70"/>
      <c r="J16" s="75"/>
      <c r="K16" s="70"/>
    </row>
    <row r="17" spans="1:12" ht="28.8" x14ac:dyDescent="0.3">
      <c r="B17" s="54" t="s">
        <v>98</v>
      </c>
      <c r="C17" s="54" t="s">
        <v>118</v>
      </c>
      <c r="D17" s="76">
        <f t="shared" ref="D17:I17" si="2">+D14+D15</f>
        <v>586.85300000000007</v>
      </c>
      <c r="E17" s="19">
        <f t="shared" si="2"/>
        <v>350.8874450000003</v>
      </c>
      <c r="F17" s="76">
        <f t="shared" si="2"/>
        <v>483.30906899999968</v>
      </c>
      <c r="G17" s="19">
        <f t="shared" si="2"/>
        <v>1063.9080000000001</v>
      </c>
      <c r="H17" s="76">
        <f t="shared" si="2"/>
        <v>2820</v>
      </c>
      <c r="I17" s="19">
        <f t="shared" si="2"/>
        <v>8071.1</v>
      </c>
      <c r="J17" s="76">
        <f t="shared" ref="J17:K17" si="3">+J14+J15</f>
        <v>8872.6430000000037</v>
      </c>
      <c r="K17" s="19">
        <f t="shared" si="3"/>
        <v>5847.2410000000018</v>
      </c>
    </row>
    <row r="18" spans="1:12" x14ac:dyDescent="0.3">
      <c r="B18" s="61" t="s">
        <v>99</v>
      </c>
      <c r="C18" s="60" t="s">
        <v>119</v>
      </c>
      <c r="D18" s="75">
        <v>588.32600000000002</v>
      </c>
      <c r="E18" s="70">
        <v>351.81632500000001</v>
      </c>
      <c r="F18" s="75">
        <v>483.57687199999998</v>
      </c>
      <c r="G18" s="70">
        <v>1062</v>
      </c>
      <c r="H18" s="75">
        <v>2818</v>
      </c>
      <c r="I18" s="70">
        <v>8067</v>
      </c>
      <c r="J18" s="75">
        <v>8960.8950000000004</v>
      </c>
      <c r="K18" s="70">
        <v>5683</v>
      </c>
    </row>
    <row r="19" spans="1:12" ht="28.8" x14ac:dyDescent="0.3">
      <c r="B19" s="62" t="s">
        <v>120</v>
      </c>
      <c r="C19" s="62" t="s">
        <v>121</v>
      </c>
      <c r="D19" s="77">
        <v>-1.4730000000000001</v>
      </c>
      <c r="E19" s="71">
        <v>-0.92888000000000004</v>
      </c>
      <c r="F19" s="77">
        <v>-0.26780300000000001</v>
      </c>
      <c r="G19" s="71">
        <v>2</v>
      </c>
      <c r="H19" s="77">
        <v>2</v>
      </c>
      <c r="I19" s="71">
        <v>4</v>
      </c>
      <c r="J19" s="77">
        <v>-88.251999999999995</v>
      </c>
      <c r="K19" s="71">
        <v>164</v>
      </c>
    </row>
    <row r="20" spans="1:12" ht="15" thickBot="1" x14ac:dyDescent="0.35">
      <c r="B20" s="60" t="s">
        <v>122</v>
      </c>
      <c r="C20" s="60" t="s">
        <v>123</v>
      </c>
      <c r="D20" s="75"/>
      <c r="E20" s="70">
        <v>-115.845702</v>
      </c>
      <c r="F20" s="75">
        <v>-1061.3122229999999</v>
      </c>
      <c r="G20" s="70">
        <v>772.60900000000004</v>
      </c>
      <c r="H20" s="75">
        <v>3043</v>
      </c>
      <c r="I20" s="70">
        <v>4334</v>
      </c>
      <c r="J20" s="75">
        <v>-1845.375</v>
      </c>
      <c r="K20" s="70">
        <v>1948</v>
      </c>
    </row>
    <row r="21" spans="1:12" ht="30" thickTop="1" thickBot="1" x14ac:dyDescent="0.35">
      <c r="B21" s="55" t="s">
        <v>100</v>
      </c>
      <c r="C21" s="55" t="s">
        <v>124</v>
      </c>
      <c r="D21" s="78">
        <f t="shared" ref="D21:I21" si="4">+D17+D20</f>
        <v>586.85300000000007</v>
      </c>
      <c r="E21" s="25">
        <f t="shared" si="4"/>
        <v>235.04174300000028</v>
      </c>
      <c r="F21" s="78">
        <f t="shared" si="4"/>
        <v>-578.00315400000022</v>
      </c>
      <c r="G21" s="25">
        <f t="shared" si="4"/>
        <v>1836.5170000000003</v>
      </c>
      <c r="H21" s="78">
        <f t="shared" si="4"/>
        <v>5863</v>
      </c>
      <c r="I21" s="25">
        <f t="shared" si="4"/>
        <v>12405.1</v>
      </c>
      <c r="J21" s="78">
        <f t="shared" ref="J21:K21" si="5">+J17+J20</f>
        <v>7027.2680000000037</v>
      </c>
      <c r="K21" s="25">
        <f t="shared" si="5"/>
        <v>7795.2410000000018</v>
      </c>
    </row>
    <row r="22" spans="1:12" ht="15" thickTop="1" x14ac:dyDescent="0.3">
      <c r="B22" s="60" t="s">
        <v>99</v>
      </c>
      <c r="C22" s="60" t="s">
        <v>119</v>
      </c>
      <c r="D22" s="75"/>
      <c r="E22" s="70">
        <v>235.97062299999999</v>
      </c>
      <c r="F22" s="75">
        <v>-577.73535100000004</v>
      </c>
      <c r="G22" s="70">
        <v>1835</v>
      </c>
      <c r="H22" s="75">
        <v>5861</v>
      </c>
      <c r="I22" s="70">
        <v>12401</v>
      </c>
      <c r="J22" s="75">
        <v>7115.5200000000041</v>
      </c>
      <c r="K22" s="70">
        <v>7631</v>
      </c>
    </row>
    <row r="23" spans="1:12" ht="29.4" thickBot="1" x14ac:dyDescent="0.35">
      <c r="B23" s="60" t="s">
        <v>120</v>
      </c>
      <c r="C23" s="62" t="s">
        <v>121</v>
      </c>
      <c r="D23" s="75"/>
      <c r="E23" s="70">
        <v>-0.92888000000000004</v>
      </c>
      <c r="F23" s="75">
        <v>-0.26780300000000001</v>
      </c>
      <c r="G23" s="70">
        <v>2</v>
      </c>
      <c r="H23" s="75">
        <v>2</v>
      </c>
      <c r="I23" s="70">
        <v>4</v>
      </c>
      <c r="J23" s="75">
        <v>-88.251999999999995</v>
      </c>
      <c r="K23" s="70">
        <v>164</v>
      </c>
    </row>
    <row r="24" spans="1:12" ht="15.6" thickTop="1" thickBot="1" x14ac:dyDescent="0.35">
      <c r="B24" s="55" t="s">
        <v>101</v>
      </c>
      <c r="C24" s="55" t="s">
        <v>101</v>
      </c>
      <c r="D24" s="78">
        <f>+D12-D10-D8</f>
        <v>1263.3700000000001</v>
      </c>
      <c r="E24" s="25">
        <f>+E12-E10-E8</f>
        <v>936.13325000000032</v>
      </c>
      <c r="F24" s="78">
        <f>+F12-F10-F8</f>
        <v>2122.8434949999996</v>
      </c>
      <c r="G24" s="25">
        <f>+G12-G10-G8</f>
        <v>3137.3770000000004</v>
      </c>
      <c r="H24" s="78">
        <v>6213</v>
      </c>
      <c r="I24" s="25">
        <v>11808</v>
      </c>
      <c r="J24" s="78">
        <v>12766.328000000009</v>
      </c>
      <c r="K24" s="25">
        <v>9763</v>
      </c>
    </row>
    <row r="25" spans="1:12" ht="15" thickTop="1" x14ac:dyDescent="0.3">
      <c r="D25" s="72"/>
      <c r="E25" s="72"/>
      <c r="F25" s="72"/>
      <c r="G25" s="72"/>
    </row>
    <row r="26" spans="1:12" x14ac:dyDescent="0.3">
      <c r="D26" s="72"/>
      <c r="E26" s="72"/>
      <c r="F26" s="72"/>
      <c r="G26" s="72"/>
      <c r="H26" s="111"/>
      <c r="I26" s="111"/>
      <c r="J26" s="111"/>
      <c r="K26" s="111"/>
    </row>
    <row r="27" spans="1:12" x14ac:dyDescent="0.3">
      <c r="D27" s="72"/>
      <c r="E27" s="72"/>
      <c r="F27" s="72"/>
      <c r="G27" s="72"/>
      <c r="H27" s="111"/>
      <c r="I27" s="111"/>
      <c r="J27" s="111"/>
      <c r="K27" s="111"/>
    </row>
    <row r="28" spans="1:12" x14ac:dyDescent="0.3">
      <c r="A28" s="1" t="s">
        <v>0</v>
      </c>
      <c r="B28" s="112" t="s">
        <v>0</v>
      </c>
      <c r="C28" s="112" t="s">
        <v>1</v>
      </c>
      <c r="D28" s="102">
        <v>42916</v>
      </c>
      <c r="E28" s="102">
        <v>43281</v>
      </c>
      <c r="F28" s="102">
        <v>43646</v>
      </c>
      <c r="G28" s="102">
        <v>44012</v>
      </c>
      <c r="H28" s="102">
        <v>44377</v>
      </c>
      <c r="I28" s="102">
        <v>44742</v>
      </c>
      <c r="J28" s="102">
        <v>45107</v>
      </c>
      <c r="K28" s="102">
        <v>45473</v>
      </c>
      <c r="L28" s="103"/>
    </row>
    <row r="29" spans="1:12" ht="15" customHeight="1" thickBot="1" x14ac:dyDescent="0.35">
      <c r="B29" s="112" t="s">
        <v>92</v>
      </c>
      <c r="C29" s="113" t="s">
        <v>126</v>
      </c>
      <c r="D29" s="100" t="s">
        <v>130</v>
      </c>
      <c r="E29" s="100" t="s">
        <v>130</v>
      </c>
      <c r="F29" s="100" t="s">
        <v>130</v>
      </c>
      <c r="G29" s="100" t="s">
        <v>130</v>
      </c>
      <c r="H29" s="100" t="s">
        <v>130</v>
      </c>
      <c r="I29" s="100" t="s">
        <v>130</v>
      </c>
      <c r="J29" s="100" t="s">
        <v>130</v>
      </c>
      <c r="K29" s="100" t="s">
        <v>130</v>
      </c>
    </row>
    <row r="30" spans="1:12" ht="15" thickBot="1" x14ac:dyDescent="0.35">
      <c r="B30" s="64" t="s">
        <v>3</v>
      </c>
      <c r="C30" s="64" t="s">
        <v>4</v>
      </c>
      <c r="D30" s="80">
        <f t="shared" ref="D30:I30" si="6">SUM(D31:D42)</f>
        <v>6414.7109999999993</v>
      </c>
      <c r="E30" s="88">
        <f t="shared" si="6"/>
        <v>8980.4130000000005</v>
      </c>
      <c r="F30" s="80">
        <f t="shared" si="6"/>
        <v>24087.058890999997</v>
      </c>
      <c r="G30" s="88">
        <f t="shared" si="6"/>
        <v>25768.704999999994</v>
      </c>
      <c r="H30" s="80">
        <f t="shared" si="6"/>
        <v>29983.1</v>
      </c>
      <c r="I30" s="88">
        <f t="shared" si="6"/>
        <v>31029.1</v>
      </c>
      <c r="J30" s="80">
        <f t="shared" ref="J30:K30" si="7">SUM(J31:J42)</f>
        <v>37925.5</v>
      </c>
      <c r="K30" s="88">
        <f t="shared" si="7"/>
        <v>48541.1</v>
      </c>
      <c r="L30" s="105"/>
    </row>
    <row r="31" spans="1:12" ht="18" customHeight="1" x14ac:dyDescent="0.3">
      <c r="B31" s="63" t="s">
        <v>5</v>
      </c>
      <c r="C31" s="63" t="s">
        <v>165</v>
      </c>
      <c r="D31" s="81">
        <v>4931.8789999999999</v>
      </c>
      <c r="E31" s="89">
        <v>6213.2340000000004</v>
      </c>
      <c r="F31" s="81">
        <v>16693.211686999999</v>
      </c>
      <c r="G31" s="89">
        <v>19841.204000000002</v>
      </c>
      <c r="H31" s="81">
        <v>24787</v>
      </c>
      <c r="I31" s="89">
        <v>25357</v>
      </c>
      <c r="J31" s="81">
        <v>30068</v>
      </c>
      <c r="K31" s="89">
        <v>39772</v>
      </c>
      <c r="L31" s="105"/>
    </row>
    <row r="32" spans="1:12" ht="16.2" customHeight="1" x14ac:dyDescent="0.3">
      <c r="B32" s="63" t="s">
        <v>7</v>
      </c>
      <c r="C32" s="63" t="s">
        <v>8</v>
      </c>
      <c r="D32" s="81">
        <v>32.802</v>
      </c>
      <c r="E32" s="89">
        <v>45.884</v>
      </c>
      <c r="F32" s="81">
        <v>42.802802999999997</v>
      </c>
      <c r="G32" s="89">
        <v>85.727999999999994</v>
      </c>
      <c r="H32" s="81">
        <v>89</v>
      </c>
      <c r="I32" s="89">
        <v>0</v>
      </c>
      <c r="J32" s="81">
        <v>0</v>
      </c>
      <c r="K32" s="89">
        <v>0</v>
      </c>
      <c r="L32" s="105"/>
    </row>
    <row r="33" spans="2:12" x14ac:dyDescent="0.3">
      <c r="B33" s="63" t="s">
        <v>9</v>
      </c>
      <c r="C33" s="63" t="s">
        <v>10</v>
      </c>
      <c r="D33" s="81">
        <v>586.62</v>
      </c>
      <c r="E33" s="89">
        <v>251.33500000000001</v>
      </c>
      <c r="F33" s="81">
        <v>254.418553</v>
      </c>
      <c r="G33" s="89">
        <v>104.376</v>
      </c>
      <c r="H33" s="81">
        <v>0</v>
      </c>
      <c r="I33" s="89">
        <v>0</v>
      </c>
      <c r="J33" s="81">
        <v>0</v>
      </c>
      <c r="K33" s="89">
        <v>0</v>
      </c>
      <c r="L33" s="105"/>
    </row>
    <row r="34" spans="2:12" x14ac:dyDescent="0.3">
      <c r="B34" s="63" t="s">
        <v>12</v>
      </c>
      <c r="C34" s="63" t="s">
        <v>13</v>
      </c>
      <c r="D34" s="81">
        <v>54.981000000000002</v>
      </c>
      <c r="E34" s="89">
        <v>4.0190000000000001</v>
      </c>
      <c r="F34" s="81">
        <v>16.534867999999999</v>
      </c>
      <c r="G34" s="89">
        <v>3.0910000000000002</v>
      </c>
      <c r="H34" s="81">
        <v>0</v>
      </c>
      <c r="I34" s="89">
        <v>0</v>
      </c>
      <c r="J34" s="81">
        <v>0</v>
      </c>
      <c r="K34" s="89">
        <v>0</v>
      </c>
      <c r="L34" s="105"/>
    </row>
    <row r="35" spans="2:12" x14ac:dyDescent="0.3">
      <c r="B35" s="63" t="s">
        <v>14</v>
      </c>
      <c r="C35" s="63" t="s">
        <v>15</v>
      </c>
      <c r="D35" s="81">
        <v>212.035</v>
      </c>
      <c r="E35" s="89">
        <v>581.45799999999997</v>
      </c>
      <c r="F35" s="81">
        <v>4641.5200830000003</v>
      </c>
      <c r="G35" s="89">
        <v>3003.0479999999998</v>
      </c>
      <c r="H35" s="81">
        <v>2790</v>
      </c>
      <c r="I35" s="89">
        <v>2393</v>
      </c>
      <c r="J35" s="81">
        <v>2603</v>
      </c>
      <c r="K35" s="89">
        <v>2868</v>
      </c>
      <c r="L35" s="105"/>
    </row>
    <row r="36" spans="2:12" x14ac:dyDescent="0.3">
      <c r="B36" s="63" t="s">
        <v>16</v>
      </c>
      <c r="C36" s="63" t="s">
        <v>17</v>
      </c>
      <c r="D36" s="81">
        <v>321.904</v>
      </c>
      <c r="E36" s="89">
        <v>1411.4659999999999</v>
      </c>
      <c r="F36" s="81">
        <v>1428.56431</v>
      </c>
      <c r="G36" s="89">
        <v>1359.6210000000001</v>
      </c>
      <c r="H36" s="81">
        <v>1124</v>
      </c>
      <c r="I36" s="89">
        <v>990</v>
      </c>
      <c r="J36" s="81">
        <v>863</v>
      </c>
      <c r="K36" s="89">
        <v>737</v>
      </c>
      <c r="L36" s="105"/>
    </row>
    <row r="37" spans="2:12" x14ac:dyDescent="0.3">
      <c r="B37" s="63" t="s">
        <v>163</v>
      </c>
      <c r="C37" s="63" t="s">
        <v>183</v>
      </c>
      <c r="D37" s="81"/>
      <c r="E37" s="89"/>
      <c r="F37" s="81">
        <v>630.11357999999996</v>
      </c>
      <c r="G37" s="89">
        <v>939.65700000000004</v>
      </c>
      <c r="H37" s="81">
        <v>1000</v>
      </c>
      <c r="I37" s="89">
        <v>1777</v>
      </c>
      <c r="J37" s="81">
        <v>2412</v>
      </c>
      <c r="K37" s="89">
        <v>2591</v>
      </c>
      <c r="L37" s="105"/>
    </row>
    <row r="38" spans="2:12" x14ac:dyDescent="0.3">
      <c r="B38" s="63" t="s">
        <v>18</v>
      </c>
      <c r="C38" t="s">
        <v>18</v>
      </c>
      <c r="D38" s="81"/>
      <c r="E38" s="89"/>
      <c r="F38" s="81"/>
      <c r="G38" s="89">
        <v>186.31899999999999</v>
      </c>
      <c r="H38" s="81">
        <v>0</v>
      </c>
      <c r="I38" s="89">
        <v>0</v>
      </c>
      <c r="J38" s="81">
        <v>936.4</v>
      </c>
      <c r="K38" s="89">
        <v>1019</v>
      </c>
      <c r="L38" s="105"/>
    </row>
    <row r="39" spans="2:12" x14ac:dyDescent="0.3">
      <c r="B39" s="63" t="s">
        <v>20</v>
      </c>
      <c r="C39" t="s">
        <v>21</v>
      </c>
      <c r="D39" s="81">
        <v>60.573999999999998</v>
      </c>
      <c r="E39" s="89">
        <v>285.91199999999998</v>
      </c>
      <c r="F39" s="81">
        <v>179.63820100000001</v>
      </c>
      <c r="G39" s="89">
        <v>174.24700000000001</v>
      </c>
      <c r="H39" s="81">
        <v>95</v>
      </c>
      <c r="I39" s="89">
        <v>20</v>
      </c>
      <c r="J39" s="81">
        <v>79</v>
      </c>
      <c r="K39" s="89">
        <v>154</v>
      </c>
      <c r="L39" s="105"/>
    </row>
    <row r="40" spans="2:12" x14ac:dyDescent="0.3">
      <c r="B40" s="63" t="s">
        <v>131</v>
      </c>
      <c r="C40" t="s">
        <v>23</v>
      </c>
      <c r="D40" s="81">
        <v>213.816</v>
      </c>
      <c r="E40" s="89">
        <v>187.005</v>
      </c>
      <c r="F40" s="81">
        <v>200.15480600000001</v>
      </c>
      <c r="G40" s="89">
        <v>71.313999999999993</v>
      </c>
      <c r="H40" s="81">
        <v>98</v>
      </c>
      <c r="I40" s="89">
        <v>492</v>
      </c>
      <c r="J40" s="81">
        <v>964</v>
      </c>
      <c r="K40" s="89">
        <v>1400</v>
      </c>
      <c r="L40" s="105"/>
    </row>
    <row r="41" spans="2:12" x14ac:dyDescent="0.3">
      <c r="B41" s="63" t="s">
        <v>132</v>
      </c>
      <c r="C41" t="s">
        <v>180</v>
      </c>
      <c r="D41" s="81">
        <v>0.1</v>
      </c>
      <c r="E41" s="89">
        <v>0.1</v>
      </c>
      <c r="F41" s="81">
        <v>0.1</v>
      </c>
      <c r="G41" s="89">
        <v>0.1</v>
      </c>
      <c r="H41" s="81">
        <v>0.1</v>
      </c>
      <c r="I41" s="89">
        <v>0.1</v>
      </c>
      <c r="J41" s="81">
        <v>0.1</v>
      </c>
      <c r="K41" s="89">
        <v>0.1</v>
      </c>
      <c r="L41" s="105"/>
    </row>
    <row r="42" spans="2:12" ht="15" thickBot="1" x14ac:dyDescent="0.35">
      <c r="B42" s="63"/>
      <c r="C42" s="63"/>
      <c r="D42" s="82"/>
      <c r="E42" s="90"/>
      <c r="F42" s="82"/>
      <c r="G42" s="90"/>
      <c r="H42" s="82"/>
      <c r="I42" s="90"/>
      <c r="J42" s="82"/>
      <c r="K42" s="90"/>
      <c r="L42" s="105"/>
    </row>
    <row r="43" spans="2:12" ht="29.4" thickBot="1" x14ac:dyDescent="0.35">
      <c r="B43" s="64" t="s">
        <v>133</v>
      </c>
      <c r="C43" s="64" t="s">
        <v>26</v>
      </c>
      <c r="D43" s="83">
        <f t="shared" ref="D43:I43" si="8">SUM(D44:D53)</f>
        <v>8405.1329999999998</v>
      </c>
      <c r="E43" s="91">
        <f t="shared" si="8"/>
        <v>6946.6080000000002</v>
      </c>
      <c r="F43" s="83">
        <f t="shared" si="8"/>
        <v>9124.4046550000003</v>
      </c>
      <c r="G43" s="91">
        <f t="shared" si="8"/>
        <v>12068.826999999999</v>
      </c>
      <c r="H43" s="83">
        <f t="shared" si="8"/>
        <v>19112</v>
      </c>
      <c r="I43" s="91">
        <f t="shared" si="8"/>
        <v>35207</v>
      </c>
      <c r="J43" s="83">
        <f t="shared" ref="J43:K43" si="9">SUM(J44:J53)</f>
        <v>45198</v>
      </c>
      <c r="K43" s="91">
        <f t="shared" si="9"/>
        <v>34142</v>
      </c>
      <c r="L43" s="105"/>
    </row>
    <row r="44" spans="2:12" x14ac:dyDescent="0.3">
      <c r="B44" s="63" t="s">
        <v>27</v>
      </c>
      <c r="C44" s="63" t="s">
        <v>28</v>
      </c>
      <c r="D44" s="84">
        <v>145.86500000000001</v>
      </c>
      <c r="E44" s="92">
        <v>145.27099999999999</v>
      </c>
      <c r="F44" s="84">
        <v>298.42093699999998</v>
      </c>
      <c r="G44" s="92">
        <v>347.92899999999997</v>
      </c>
      <c r="H44" s="84">
        <v>564</v>
      </c>
      <c r="I44" s="92">
        <v>1293</v>
      </c>
      <c r="J44" s="84">
        <v>1196</v>
      </c>
      <c r="K44" s="92">
        <v>1146</v>
      </c>
      <c r="L44" s="105"/>
    </row>
    <row r="45" spans="2:12" x14ac:dyDescent="0.3">
      <c r="B45" s="63" t="s">
        <v>29</v>
      </c>
      <c r="C45" s="63" t="s">
        <v>30</v>
      </c>
      <c r="D45" s="84">
        <v>3302.2649999999999</v>
      </c>
      <c r="E45" s="92">
        <v>1622.2080000000001</v>
      </c>
      <c r="F45" s="84">
        <v>2500.9883030000001</v>
      </c>
      <c r="G45" s="92">
        <v>3000.7240000000002</v>
      </c>
      <c r="H45" s="84">
        <v>2593</v>
      </c>
      <c r="I45" s="92">
        <v>5780</v>
      </c>
      <c r="J45" s="84">
        <v>5728</v>
      </c>
      <c r="K45" s="92">
        <v>9399</v>
      </c>
      <c r="L45" s="105"/>
    </row>
    <row r="46" spans="2:12" x14ac:dyDescent="0.3">
      <c r="B46" s="63" t="s">
        <v>12</v>
      </c>
      <c r="C46" s="63" t="s">
        <v>13</v>
      </c>
      <c r="D46" s="84"/>
      <c r="E46" s="92"/>
      <c r="F46" s="84"/>
      <c r="G46" s="92"/>
      <c r="H46" s="84"/>
      <c r="I46" s="92">
        <v>1258</v>
      </c>
      <c r="J46" s="84">
        <v>0</v>
      </c>
      <c r="K46" s="92">
        <v>0</v>
      </c>
      <c r="L46" s="105"/>
    </row>
    <row r="47" spans="2:12" x14ac:dyDescent="0.3">
      <c r="B47" s="63" t="s">
        <v>31</v>
      </c>
      <c r="C47" s="63" t="s">
        <v>32</v>
      </c>
      <c r="D47" s="84">
        <v>830.59500000000003</v>
      </c>
      <c r="E47" s="92">
        <v>860.39099999999996</v>
      </c>
      <c r="F47" s="84">
        <v>312.42079699999999</v>
      </c>
      <c r="G47" s="92">
        <v>173.55099999999999</v>
      </c>
      <c r="H47" s="84">
        <v>0</v>
      </c>
      <c r="I47" s="92">
        <v>12641</v>
      </c>
      <c r="J47" s="84">
        <v>935</v>
      </c>
      <c r="K47" s="92">
        <v>1323</v>
      </c>
      <c r="L47" s="105"/>
    </row>
    <row r="48" spans="2:12" x14ac:dyDescent="0.3">
      <c r="B48" s="63" t="s">
        <v>186</v>
      </c>
      <c r="C48" t="s">
        <v>179</v>
      </c>
      <c r="D48" s="84">
        <v>461.67399999999998</v>
      </c>
      <c r="E48" s="92">
        <v>494.86399999999998</v>
      </c>
      <c r="F48" s="84">
        <v>314.78907600000002</v>
      </c>
      <c r="G48" s="92">
        <v>1010.309</v>
      </c>
      <c r="H48" s="84">
        <v>110</v>
      </c>
      <c r="I48" s="92">
        <v>0</v>
      </c>
      <c r="J48" s="84">
        <v>4691</v>
      </c>
      <c r="K48" s="92">
        <v>3755</v>
      </c>
      <c r="L48" s="105"/>
    </row>
    <row r="49" spans="2:12" x14ac:dyDescent="0.3">
      <c r="B49" s="63" t="s">
        <v>33</v>
      </c>
      <c r="C49" s="63" t="s">
        <v>34</v>
      </c>
      <c r="D49" s="84">
        <v>985.30899999999997</v>
      </c>
      <c r="E49" s="92">
        <v>2323.9029999999998</v>
      </c>
      <c r="F49" s="84">
        <v>2158.7542800000001</v>
      </c>
      <c r="G49" s="92">
        <v>3004.0740000000001</v>
      </c>
      <c r="H49" s="84">
        <v>4919</v>
      </c>
      <c r="I49" s="92">
        <v>6362</v>
      </c>
      <c r="J49" s="84">
        <v>7574</v>
      </c>
      <c r="K49" s="92">
        <v>7308</v>
      </c>
      <c r="L49" s="105"/>
    </row>
    <row r="50" spans="2:12" x14ac:dyDescent="0.3">
      <c r="B50" s="63" t="s">
        <v>35</v>
      </c>
      <c r="C50" s="63" t="s">
        <v>36</v>
      </c>
      <c r="D50" s="84">
        <v>35.066000000000003</v>
      </c>
      <c r="E50" s="92">
        <v>121.90600000000001</v>
      </c>
      <c r="F50" s="84">
        <v>145.46445499999999</v>
      </c>
      <c r="G50" s="92">
        <v>0</v>
      </c>
      <c r="H50" s="84">
        <v>3772</v>
      </c>
      <c r="I50" s="92">
        <v>2</v>
      </c>
      <c r="J50" s="84">
        <v>0</v>
      </c>
      <c r="K50" s="92">
        <v>517</v>
      </c>
      <c r="L50" s="105"/>
    </row>
    <row r="51" spans="2:12" x14ac:dyDescent="0.3">
      <c r="B51" s="63" t="s">
        <v>37</v>
      </c>
      <c r="C51" s="63" t="s">
        <v>38</v>
      </c>
      <c r="D51" s="84">
        <v>2644.3589999999999</v>
      </c>
      <c r="E51" s="92">
        <v>1343.0650000000001</v>
      </c>
      <c r="F51" s="84">
        <v>2332.1740089999998</v>
      </c>
      <c r="G51" s="92">
        <v>3968.3679999999999</v>
      </c>
      <c r="H51" s="84">
        <v>7154</v>
      </c>
      <c r="I51" s="92">
        <v>7871</v>
      </c>
      <c r="J51" s="84">
        <v>25074</v>
      </c>
      <c r="K51" s="92">
        <v>10694</v>
      </c>
      <c r="L51" s="105"/>
    </row>
    <row r="52" spans="2:12" x14ac:dyDescent="0.3">
      <c r="B52" s="63" t="s">
        <v>162</v>
      </c>
      <c r="C52" t="s">
        <v>182</v>
      </c>
      <c r="D52" s="84"/>
      <c r="E52" s="92"/>
      <c r="F52" s="84">
        <v>1056.3927980000001</v>
      </c>
      <c r="G52" s="92">
        <v>563.87199999999996</v>
      </c>
      <c r="H52" s="84">
        <v>0</v>
      </c>
      <c r="I52" s="92">
        <v>0</v>
      </c>
      <c r="J52" s="84">
        <v>0</v>
      </c>
      <c r="K52" s="92">
        <v>0</v>
      </c>
      <c r="L52" s="105"/>
    </row>
    <row r="53" spans="2:12" x14ac:dyDescent="0.3">
      <c r="B53" s="63" t="s">
        <v>39</v>
      </c>
      <c r="C53" s="63" t="s">
        <v>40</v>
      </c>
      <c r="D53" s="84" t="s">
        <v>11</v>
      </c>
      <c r="E53" s="92">
        <v>35</v>
      </c>
      <c r="F53" s="84">
        <v>5</v>
      </c>
      <c r="G53" s="92">
        <v>0</v>
      </c>
      <c r="H53" s="84">
        <v>0</v>
      </c>
      <c r="I53" s="92">
        <v>0</v>
      </c>
      <c r="J53" s="84">
        <v>0</v>
      </c>
      <c r="K53" s="92">
        <v>0</v>
      </c>
      <c r="L53" s="105"/>
    </row>
    <row r="54" spans="2:12" ht="15" thickBot="1" x14ac:dyDescent="0.35">
      <c r="B54" s="63"/>
      <c r="C54" s="63"/>
      <c r="D54" s="82"/>
      <c r="E54" s="90"/>
      <c r="F54" s="82"/>
      <c r="G54" s="90"/>
      <c r="H54" s="82"/>
      <c r="I54" s="90"/>
      <c r="J54" s="82"/>
      <c r="K54" s="90"/>
      <c r="L54" s="105"/>
    </row>
    <row r="55" spans="2:12" ht="15.6" thickTop="1" thickBot="1" x14ac:dyDescent="0.35">
      <c r="B55" s="65" t="s">
        <v>41</v>
      </c>
      <c r="C55" s="65" t="s">
        <v>42</v>
      </c>
      <c r="D55" s="85">
        <f t="shared" ref="D55:F55" si="10">+D43+D30</f>
        <v>14819.843999999999</v>
      </c>
      <c r="E55" s="93">
        <f t="shared" si="10"/>
        <v>15927.021000000001</v>
      </c>
      <c r="F55" s="85">
        <f t="shared" si="10"/>
        <v>33211.463545999999</v>
      </c>
      <c r="G55" s="93">
        <f t="shared" ref="G55:H55" si="11">+G43+G30</f>
        <v>37837.531999999992</v>
      </c>
      <c r="H55" s="85">
        <f t="shared" si="11"/>
        <v>49095.1</v>
      </c>
      <c r="I55" s="93">
        <f t="shared" ref="I55:J55" si="12">+I43+I30</f>
        <v>66236.100000000006</v>
      </c>
      <c r="J55" s="85">
        <f t="shared" si="12"/>
        <v>83123.5</v>
      </c>
      <c r="K55" s="93">
        <f t="shared" ref="K55" si="13">+K43+K30</f>
        <v>82683.100000000006</v>
      </c>
      <c r="L55" s="105"/>
    </row>
    <row r="56" spans="2:12" ht="15" thickTop="1" x14ac:dyDescent="0.3">
      <c r="D56" s="79"/>
      <c r="E56" s="72"/>
      <c r="F56" s="106"/>
      <c r="G56" s="106"/>
      <c r="H56" s="111"/>
      <c r="I56" s="106"/>
      <c r="J56" s="111"/>
      <c r="K56" s="106"/>
      <c r="L56" s="105"/>
    </row>
    <row r="57" spans="2:12" x14ac:dyDescent="0.3">
      <c r="D57" s="79"/>
      <c r="E57" s="72"/>
      <c r="F57" s="106"/>
      <c r="G57" s="106"/>
      <c r="H57" s="111"/>
      <c r="I57" s="106"/>
      <c r="J57" s="111"/>
      <c r="K57" s="106"/>
      <c r="L57" s="105"/>
    </row>
    <row r="58" spans="2:12" x14ac:dyDescent="0.3">
      <c r="D58" s="79"/>
      <c r="E58" s="72"/>
      <c r="F58" s="106"/>
      <c r="G58" s="106"/>
      <c r="H58" s="111"/>
      <c r="I58" s="106"/>
      <c r="J58" s="111"/>
      <c r="K58" s="106"/>
      <c r="L58" s="105"/>
    </row>
    <row r="59" spans="2:12" x14ac:dyDescent="0.3">
      <c r="B59" s="112" t="s">
        <v>0</v>
      </c>
      <c r="C59" s="112" t="s">
        <v>1</v>
      </c>
      <c r="D59" s="108">
        <v>42916</v>
      </c>
      <c r="E59" s="108">
        <v>43281</v>
      </c>
      <c r="F59" s="108">
        <v>43646</v>
      </c>
      <c r="G59" s="108">
        <v>44012</v>
      </c>
      <c r="H59" s="108" t="s">
        <v>299</v>
      </c>
      <c r="I59" s="108">
        <v>44742</v>
      </c>
      <c r="J59" s="108">
        <v>45107</v>
      </c>
      <c r="K59" s="102">
        <v>45473</v>
      </c>
      <c r="L59" s="109"/>
    </row>
    <row r="60" spans="2:12" ht="15" customHeight="1" thickBot="1" x14ac:dyDescent="0.35">
      <c r="B60" s="112" t="s">
        <v>92</v>
      </c>
      <c r="C60" s="113" t="s">
        <v>126</v>
      </c>
      <c r="D60" s="110" t="s">
        <v>130</v>
      </c>
      <c r="E60" s="110" t="s">
        <v>130</v>
      </c>
      <c r="F60" s="110" t="s">
        <v>130</v>
      </c>
      <c r="G60" s="110" t="s">
        <v>130</v>
      </c>
      <c r="H60" s="110" t="s">
        <v>130</v>
      </c>
      <c r="I60" s="110" t="s">
        <v>130</v>
      </c>
      <c r="J60" s="110" t="s">
        <v>130</v>
      </c>
      <c r="K60" s="110" t="s">
        <v>130</v>
      </c>
      <c r="L60" s="52"/>
    </row>
    <row r="61" spans="2:12" ht="15" thickBot="1" x14ac:dyDescent="0.35">
      <c r="B61" s="64" t="s">
        <v>43</v>
      </c>
      <c r="C61" s="64" t="s">
        <v>44</v>
      </c>
      <c r="D61" s="83">
        <f t="shared" ref="D61:I61" si="14">+D62+D71</f>
        <v>4668.9340000000002</v>
      </c>
      <c r="E61" s="91">
        <f t="shared" si="14"/>
        <v>5104.4380000000001</v>
      </c>
      <c r="F61" s="83">
        <f t="shared" si="14"/>
        <v>6310.1572749999987</v>
      </c>
      <c r="G61" s="91">
        <f t="shared" si="14"/>
        <v>7586.5889999999999</v>
      </c>
      <c r="H61" s="83">
        <f t="shared" si="14"/>
        <v>14037</v>
      </c>
      <c r="I61" s="91">
        <f t="shared" si="14"/>
        <v>29257</v>
      </c>
      <c r="J61" s="83">
        <f t="shared" ref="J61:K61" si="15">+J62+J71</f>
        <v>32580</v>
      </c>
      <c r="K61" s="91">
        <f t="shared" si="15"/>
        <v>33717</v>
      </c>
      <c r="L61" s="105"/>
    </row>
    <row r="62" spans="2:12" ht="16.2" customHeight="1" x14ac:dyDescent="0.3">
      <c r="B62" s="66" t="s">
        <v>134</v>
      </c>
      <c r="C62" s="66" t="s">
        <v>46</v>
      </c>
      <c r="D62" s="86">
        <f>SUM(D63:D69)</f>
        <v>4698.5380000000005</v>
      </c>
      <c r="E62" s="94">
        <f>SUM(E63:E69)</f>
        <v>5131.0680000000002</v>
      </c>
      <c r="F62" s="86">
        <f>SUM(F63:F69)</f>
        <v>6317.2654119999988</v>
      </c>
      <c r="G62" s="94">
        <v>7580.9840000000004</v>
      </c>
      <c r="H62" s="86">
        <f>SUM(H63:H69)</f>
        <v>14027</v>
      </c>
      <c r="I62" s="94">
        <f>SUM(I63:I69)</f>
        <v>29243</v>
      </c>
      <c r="J62" s="86">
        <f>SUM(J63:J69)</f>
        <v>32583</v>
      </c>
      <c r="K62" s="94">
        <v>33509</v>
      </c>
      <c r="L62" s="105"/>
    </row>
    <row r="63" spans="2:12" x14ac:dyDescent="0.3">
      <c r="B63" s="63" t="s">
        <v>47</v>
      </c>
      <c r="C63" s="63" t="s">
        <v>48</v>
      </c>
      <c r="D63" s="81">
        <v>195.39</v>
      </c>
      <c r="E63" s="89">
        <v>195.39</v>
      </c>
      <c r="F63" s="81">
        <v>232.78190000000001</v>
      </c>
      <c r="G63" s="89">
        <v>232.97200000000001</v>
      </c>
      <c r="H63" s="81">
        <v>237</v>
      </c>
      <c r="I63" s="89">
        <v>249</v>
      </c>
      <c r="J63" s="81">
        <v>248</v>
      </c>
      <c r="K63" s="89">
        <v>249</v>
      </c>
      <c r="L63" s="105"/>
    </row>
    <row r="64" spans="2:12" x14ac:dyDescent="0.3">
      <c r="B64" s="63" t="s">
        <v>178</v>
      </c>
      <c r="C64" s="63" t="s">
        <v>49</v>
      </c>
      <c r="D64" s="81">
        <v>3080.8380000000002</v>
      </c>
      <c r="E64" s="89">
        <v>3080.8380000000002</v>
      </c>
      <c r="F64" s="81">
        <v>5042.9831169999998</v>
      </c>
      <c r="G64" s="89">
        <v>5057.8329999999996</v>
      </c>
      <c r="H64" s="81">
        <v>5413</v>
      </c>
      <c r="I64" s="89">
        <v>6508</v>
      </c>
      <c r="J64" s="81">
        <v>5860</v>
      </c>
      <c r="K64" s="89">
        <v>6524</v>
      </c>
      <c r="L64" s="105"/>
    </row>
    <row r="65" spans="2:12" x14ac:dyDescent="0.3">
      <c r="B65" s="63" t="s">
        <v>50</v>
      </c>
      <c r="C65" s="63" t="s">
        <v>51</v>
      </c>
      <c r="D65" s="81">
        <v>73.165999999999997</v>
      </c>
      <c r="E65" s="89">
        <v>83.74</v>
      </c>
      <c r="F65" s="81">
        <v>92.690111000000002</v>
      </c>
      <c r="G65" s="89">
        <v>66.748000000000005</v>
      </c>
      <c r="H65" s="81">
        <v>204</v>
      </c>
      <c r="I65" s="278">
        <v>-1551</v>
      </c>
      <c r="J65" s="81">
        <v>-1883</v>
      </c>
      <c r="K65" s="278">
        <v>-2238</v>
      </c>
      <c r="L65" s="105"/>
    </row>
    <row r="66" spans="2:12" x14ac:dyDescent="0.3">
      <c r="B66" s="63" t="s">
        <v>52</v>
      </c>
      <c r="C66" s="63" t="s">
        <v>53</v>
      </c>
      <c r="D66" s="81">
        <v>1682.662</v>
      </c>
      <c r="E66" s="89">
        <v>2108.5790000000002</v>
      </c>
      <c r="F66" s="81">
        <v>2501.4978080000001</v>
      </c>
      <c r="G66" s="89">
        <v>3357.8470000000002</v>
      </c>
      <c r="H66" s="81">
        <v>5245</v>
      </c>
      <c r="I66" s="89">
        <v>14396</v>
      </c>
      <c r="J66" s="81">
        <v>28134</v>
      </c>
      <c r="K66" s="278">
        <v>29415</v>
      </c>
      <c r="L66" s="105"/>
    </row>
    <row r="67" spans="2:12" x14ac:dyDescent="0.3">
      <c r="B67" s="63" t="s">
        <v>135</v>
      </c>
      <c r="C67" s="63" t="s">
        <v>55</v>
      </c>
      <c r="D67" s="279">
        <v>-182.42400000000001</v>
      </c>
      <c r="E67" s="278">
        <v>-182.42400000000001</v>
      </c>
      <c r="F67" s="279">
        <v>-192.53436500000001</v>
      </c>
      <c r="G67" s="278">
        <v>-192.53399999999999</v>
      </c>
      <c r="H67" s="279">
        <v>-514</v>
      </c>
      <c r="I67" s="278">
        <v>0</v>
      </c>
      <c r="J67" s="279">
        <v>0</v>
      </c>
      <c r="K67" s="278">
        <v>0</v>
      </c>
      <c r="L67" s="105"/>
    </row>
    <row r="68" spans="2:12" x14ac:dyDescent="0.3">
      <c r="B68" s="63" t="s">
        <v>56</v>
      </c>
      <c r="C68" s="63" t="s">
        <v>57</v>
      </c>
      <c r="D68" s="279">
        <v>-151.09399999999999</v>
      </c>
      <c r="E68" s="278">
        <v>-155.22</v>
      </c>
      <c r="F68" s="279">
        <v>-1360.483714</v>
      </c>
      <c r="G68" s="278">
        <v>-940.82299999999998</v>
      </c>
      <c r="H68" s="279">
        <v>3442</v>
      </c>
      <c r="I68" s="278">
        <v>9641</v>
      </c>
      <c r="J68" s="279">
        <v>224</v>
      </c>
      <c r="K68" s="89">
        <v>-441</v>
      </c>
      <c r="L68" s="105"/>
    </row>
    <row r="69" spans="2:12" x14ac:dyDescent="0.3">
      <c r="B69" s="63" t="s">
        <v>136</v>
      </c>
      <c r="C69" s="63" t="s">
        <v>181</v>
      </c>
      <c r="D69" s="81" t="s">
        <v>11</v>
      </c>
      <c r="E69" s="89">
        <v>0.16500000000000001</v>
      </c>
      <c r="F69" s="81">
        <v>0.33055499999999999</v>
      </c>
      <c r="G69" s="89">
        <v>-1.0589999999999999</v>
      </c>
      <c r="H69" s="81">
        <v>0</v>
      </c>
      <c r="I69" s="89">
        <v>0</v>
      </c>
      <c r="J69" s="81">
        <v>0</v>
      </c>
      <c r="K69" s="89">
        <v>0</v>
      </c>
      <c r="L69" s="105"/>
    </row>
    <row r="70" spans="2:12" x14ac:dyDescent="0.3">
      <c r="B70" s="63"/>
      <c r="C70" s="63"/>
      <c r="D70" s="87">
        <v>0</v>
      </c>
      <c r="E70" s="95">
        <v>0</v>
      </c>
      <c r="F70" s="87">
        <v>0</v>
      </c>
      <c r="G70" s="95">
        <v>0</v>
      </c>
      <c r="H70" s="87">
        <v>0</v>
      </c>
      <c r="I70" s="95">
        <v>0</v>
      </c>
      <c r="J70" s="87">
        <v>0</v>
      </c>
      <c r="K70" s="95">
        <v>0</v>
      </c>
      <c r="L70" s="105"/>
    </row>
    <row r="71" spans="2:12" x14ac:dyDescent="0.3">
      <c r="B71" s="66" t="s">
        <v>59</v>
      </c>
      <c r="C71" s="63" t="s">
        <v>60</v>
      </c>
      <c r="D71" s="86">
        <v>-29.603999999999999</v>
      </c>
      <c r="E71" s="94">
        <v>-26.63</v>
      </c>
      <c r="F71" s="86">
        <v>-7.1081370000000001</v>
      </c>
      <c r="G71" s="94">
        <v>5.6050000000000004</v>
      </c>
      <c r="H71" s="86">
        <v>10</v>
      </c>
      <c r="I71" s="94">
        <v>14</v>
      </c>
      <c r="J71" s="86">
        <v>-3</v>
      </c>
      <c r="K71" s="94">
        <v>208</v>
      </c>
      <c r="L71" s="105"/>
    </row>
    <row r="72" spans="2:12" ht="15" thickBot="1" x14ac:dyDescent="0.35">
      <c r="B72" s="63"/>
      <c r="C72" s="63"/>
      <c r="D72" s="82"/>
      <c r="E72" s="90"/>
      <c r="F72" s="82"/>
      <c r="G72" s="90"/>
      <c r="H72" s="82"/>
      <c r="I72" s="90"/>
      <c r="J72" s="82"/>
      <c r="K72" s="90"/>
      <c r="L72" s="105"/>
    </row>
    <row r="73" spans="2:12" ht="15" thickBot="1" x14ac:dyDescent="0.35">
      <c r="B73" s="64" t="s">
        <v>61</v>
      </c>
      <c r="C73" s="64" t="s">
        <v>62</v>
      </c>
      <c r="D73" s="83">
        <f t="shared" ref="D73:I73" si="16">SUM(D74:D80)</f>
        <v>6230.688000000001</v>
      </c>
      <c r="E73" s="91">
        <f t="shared" si="16"/>
        <v>6529.851999999999</v>
      </c>
      <c r="F73" s="83">
        <f t="shared" si="16"/>
        <v>19876.075740000004</v>
      </c>
      <c r="G73" s="91">
        <f t="shared" si="16"/>
        <v>22014.203999999998</v>
      </c>
      <c r="H73" s="83">
        <f t="shared" si="16"/>
        <v>24533</v>
      </c>
      <c r="I73" s="91">
        <f t="shared" si="16"/>
        <v>25069</v>
      </c>
      <c r="J73" s="83">
        <f t="shared" ref="J73:K73" si="17">SUM(J74:J80)</f>
        <v>31226</v>
      </c>
      <c r="K73" s="91">
        <f t="shared" si="17"/>
        <v>27733</v>
      </c>
      <c r="L73" s="105"/>
    </row>
    <row r="74" spans="2:12" x14ac:dyDescent="0.3">
      <c r="B74" s="63" t="s">
        <v>63</v>
      </c>
      <c r="C74" s="63" t="s">
        <v>23</v>
      </c>
      <c r="D74" s="84">
        <v>1900.8979999999999</v>
      </c>
      <c r="E74" s="92">
        <v>1629.498</v>
      </c>
      <c r="F74" s="84">
        <v>13278.101674</v>
      </c>
      <c r="G74" s="92">
        <v>8008.2060000000001</v>
      </c>
      <c r="H74" s="84">
        <v>12679</v>
      </c>
      <c r="I74" s="92">
        <v>12658</v>
      </c>
      <c r="J74" s="84">
        <v>12658</v>
      </c>
      <c r="K74" s="92">
        <v>12658</v>
      </c>
      <c r="L74" s="105"/>
    </row>
    <row r="75" spans="2:12" x14ac:dyDescent="0.3">
      <c r="B75" s="63" t="s">
        <v>64</v>
      </c>
      <c r="C75" s="63" t="s">
        <v>65</v>
      </c>
      <c r="D75" s="84">
        <v>3436.2719999999999</v>
      </c>
      <c r="E75" s="92">
        <v>3529.739</v>
      </c>
      <c r="F75" s="84">
        <v>4197.3175840000004</v>
      </c>
      <c r="G75" s="92">
        <v>10957.118</v>
      </c>
      <c r="H75" s="84">
        <v>7864</v>
      </c>
      <c r="I75" s="92">
        <v>6367</v>
      </c>
      <c r="J75" s="84">
        <v>10460</v>
      </c>
      <c r="K75" s="92">
        <v>8863</v>
      </c>
      <c r="L75" s="105"/>
    </row>
    <row r="76" spans="2:12" x14ac:dyDescent="0.3">
      <c r="B76" s="63" t="s">
        <v>137</v>
      </c>
      <c r="C76" s="63" t="s">
        <v>67</v>
      </c>
      <c r="D76" s="84">
        <v>121.72499999999999</v>
      </c>
      <c r="E76" s="92">
        <v>101.464</v>
      </c>
      <c r="F76" s="84">
        <v>832.78013699999997</v>
      </c>
      <c r="G76" s="92">
        <v>939.17200000000003</v>
      </c>
      <c r="H76" s="84">
        <v>990</v>
      </c>
      <c r="I76" s="92">
        <v>1723</v>
      </c>
      <c r="J76" s="84">
        <v>2224</v>
      </c>
      <c r="K76" s="92">
        <v>2387</v>
      </c>
      <c r="L76" s="105"/>
    </row>
    <row r="77" spans="2:12" x14ac:dyDescent="0.3">
      <c r="B77" s="63" t="s">
        <v>68</v>
      </c>
      <c r="C77" s="63" t="s">
        <v>69</v>
      </c>
      <c r="D77" s="84">
        <v>234.131</v>
      </c>
      <c r="E77" s="92">
        <v>353.82499999999999</v>
      </c>
      <c r="F77" s="84">
        <v>590.39205900000002</v>
      </c>
      <c r="G77" s="92">
        <v>655.54700000000003</v>
      </c>
      <c r="H77" s="84">
        <v>1093</v>
      </c>
      <c r="I77" s="92">
        <v>1847</v>
      </c>
      <c r="J77" s="84">
        <v>2224</v>
      </c>
      <c r="K77" s="92">
        <v>831</v>
      </c>
      <c r="L77" s="105"/>
    </row>
    <row r="78" spans="2:12" x14ac:dyDescent="0.3">
      <c r="B78" s="63" t="s">
        <v>70</v>
      </c>
      <c r="C78" s="63" t="s">
        <v>71</v>
      </c>
      <c r="D78" s="84">
        <v>289.25599999999997</v>
      </c>
      <c r="E78" s="92">
        <v>479.44099999999997</v>
      </c>
      <c r="F78" s="84">
        <v>532.14335300000005</v>
      </c>
      <c r="G78" s="92">
        <v>615.82399999999996</v>
      </c>
      <c r="H78" s="84">
        <v>876</v>
      </c>
      <c r="I78" s="92">
        <v>897</v>
      </c>
      <c r="J78" s="84">
        <v>1493</v>
      </c>
      <c r="K78" s="92">
        <v>1256</v>
      </c>
      <c r="L78" s="105"/>
    </row>
    <row r="79" spans="2:12" x14ac:dyDescent="0.3">
      <c r="B79" s="63" t="s">
        <v>72</v>
      </c>
      <c r="C79" s="63" t="s">
        <v>73</v>
      </c>
      <c r="D79" s="84">
        <v>248.40600000000001</v>
      </c>
      <c r="E79" s="92">
        <v>160.53399999999999</v>
      </c>
      <c r="F79" s="84">
        <v>114.59032500000001</v>
      </c>
      <c r="G79" s="92">
        <v>487.80900000000003</v>
      </c>
      <c r="H79" s="84">
        <v>395</v>
      </c>
      <c r="I79" s="92">
        <v>567</v>
      </c>
      <c r="J79" s="84">
        <v>963</v>
      </c>
      <c r="K79" s="92">
        <v>798</v>
      </c>
      <c r="L79" s="105"/>
    </row>
    <row r="80" spans="2:12" x14ac:dyDescent="0.3">
      <c r="B80" s="63" t="s">
        <v>74</v>
      </c>
      <c r="C80" s="63" t="s">
        <v>75</v>
      </c>
      <c r="D80" s="82">
        <v>0</v>
      </c>
      <c r="E80" s="90">
        <v>275.351</v>
      </c>
      <c r="F80" s="82">
        <v>330.750608</v>
      </c>
      <c r="G80" s="90">
        <v>350.52800000000002</v>
      </c>
      <c r="H80" s="82">
        <v>636</v>
      </c>
      <c r="I80" s="90">
        <v>1010</v>
      </c>
      <c r="J80" s="82">
        <v>1204</v>
      </c>
      <c r="K80" s="90">
        <v>940</v>
      </c>
      <c r="L80" s="105"/>
    </row>
    <row r="81" spans="2:12" ht="15" thickBot="1" x14ac:dyDescent="0.35">
      <c r="B81" s="63"/>
      <c r="C81" s="63"/>
      <c r="D81" s="82"/>
      <c r="E81" s="90"/>
      <c r="F81" s="82"/>
      <c r="G81" s="90"/>
      <c r="H81" s="82"/>
      <c r="I81" s="90"/>
      <c r="J81" s="82"/>
      <c r="K81" s="90"/>
      <c r="L81" s="105"/>
    </row>
    <row r="82" spans="2:12" ht="15" thickBot="1" x14ac:dyDescent="0.35">
      <c r="B82" s="64" t="s">
        <v>76</v>
      </c>
      <c r="C82" s="64" t="s">
        <v>77</v>
      </c>
      <c r="D82" s="80">
        <f t="shared" ref="D82:I82" si="18">SUM(D83:D90)</f>
        <v>3920.2220000000002</v>
      </c>
      <c r="E82" s="88">
        <f t="shared" si="18"/>
        <v>4292.7309999999989</v>
      </c>
      <c r="F82" s="80">
        <f t="shared" si="18"/>
        <v>7025.2305310000002</v>
      </c>
      <c r="G82" s="88">
        <f t="shared" si="18"/>
        <v>8236.7389999999996</v>
      </c>
      <c r="H82" s="80">
        <f t="shared" si="18"/>
        <v>10525</v>
      </c>
      <c r="I82" s="88">
        <f t="shared" si="18"/>
        <v>11910</v>
      </c>
      <c r="J82" s="80">
        <f t="shared" ref="J82:K82" si="19">SUM(J83:J90)</f>
        <v>19318</v>
      </c>
      <c r="K82" s="88">
        <f t="shared" si="19"/>
        <v>21233</v>
      </c>
      <c r="L82" s="105"/>
    </row>
    <row r="83" spans="2:12" x14ac:dyDescent="0.3">
      <c r="B83" s="63" t="s">
        <v>138</v>
      </c>
      <c r="C83" s="63" t="s">
        <v>187</v>
      </c>
      <c r="D83" s="81">
        <v>341.05700000000002</v>
      </c>
      <c r="E83" s="89">
        <v>754.86</v>
      </c>
      <c r="F83" s="81">
        <v>1678.328323</v>
      </c>
      <c r="G83" s="89">
        <v>361.55500000000001</v>
      </c>
      <c r="H83" s="81">
        <v>2260</v>
      </c>
      <c r="I83" s="89">
        <v>0</v>
      </c>
      <c r="J83" s="81">
        <v>1415</v>
      </c>
      <c r="K83" s="89">
        <v>1722</v>
      </c>
      <c r="L83" s="105"/>
    </row>
    <row r="84" spans="2:12" x14ac:dyDescent="0.3">
      <c r="B84" s="63" t="s">
        <v>79</v>
      </c>
      <c r="C84" s="63" t="s">
        <v>139</v>
      </c>
      <c r="D84" s="81">
        <v>1077.817</v>
      </c>
      <c r="E84" s="89">
        <v>74.227999999999994</v>
      </c>
      <c r="F84" s="81">
        <v>96.534999999999997</v>
      </c>
      <c r="G84" s="89">
        <v>2391.13</v>
      </c>
      <c r="H84" s="81">
        <v>1002</v>
      </c>
      <c r="I84" s="89">
        <v>446</v>
      </c>
      <c r="J84" s="81">
        <v>0</v>
      </c>
      <c r="K84" s="89">
        <v>0</v>
      </c>
      <c r="L84" s="105"/>
    </row>
    <row r="85" spans="2:12" x14ac:dyDescent="0.3">
      <c r="B85" s="63" t="s">
        <v>210</v>
      </c>
      <c r="C85" s="63" t="s">
        <v>266</v>
      </c>
      <c r="D85" s="81"/>
      <c r="E85" s="89"/>
      <c r="F85" s="81"/>
      <c r="G85" s="89">
        <v>108.55500000000001</v>
      </c>
      <c r="H85" s="81">
        <v>155</v>
      </c>
      <c r="I85" s="89">
        <v>238</v>
      </c>
      <c r="J85" s="81">
        <v>421</v>
      </c>
      <c r="K85" s="89">
        <v>480</v>
      </c>
      <c r="L85" s="105"/>
    </row>
    <row r="86" spans="2:12" x14ac:dyDescent="0.3">
      <c r="B86" s="63" t="s">
        <v>88</v>
      </c>
      <c r="C86" s="63" t="s">
        <v>89</v>
      </c>
      <c r="D86" s="81">
        <v>59.829000000000001</v>
      </c>
      <c r="E86" s="89">
        <v>405.03399999999999</v>
      </c>
      <c r="F86" s="81">
        <v>156.95516000000001</v>
      </c>
      <c r="G86" s="89">
        <v>482.43299999999999</v>
      </c>
      <c r="H86" s="81">
        <v>35</v>
      </c>
      <c r="I86" s="89">
        <v>0</v>
      </c>
      <c r="J86" s="81">
        <v>678</v>
      </c>
      <c r="K86" s="89">
        <v>37</v>
      </c>
      <c r="L86" s="105"/>
    </row>
    <row r="87" spans="2:12" x14ac:dyDescent="0.3">
      <c r="B87" s="63" t="s">
        <v>80</v>
      </c>
      <c r="C87" s="63" t="s">
        <v>81</v>
      </c>
      <c r="D87" s="81">
        <v>938.822</v>
      </c>
      <c r="E87" s="89">
        <v>631.53899999999999</v>
      </c>
      <c r="F87" s="81">
        <v>355.83098100000001</v>
      </c>
      <c r="G87" s="89">
        <v>625.83100000000002</v>
      </c>
      <c r="H87" s="81">
        <v>1745</v>
      </c>
      <c r="I87" s="89">
        <v>2765</v>
      </c>
      <c r="J87" s="81">
        <v>1525</v>
      </c>
      <c r="K87" s="89">
        <v>3052</v>
      </c>
      <c r="L87" s="105"/>
    </row>
    <row r="88" spans="2:12" x14ac:dyDescent="0.3">
      <c r="B88" s="63" t="s">
        <v>82</v>
      </c>
      <c r="C88" s="63" t="s">
        <v>83</v>
      </c>
      <c r="D88" s="81">
        <v>139.31</v>
      </c>
      <c r="E88" s="89">
        <v>834.55399999999997</v>
      </c>
      <c r="F88" s="81">
        <v>564.485771</v>
      </c>
      <c r="G88" s="89">
        <v>972.18299999999999</v>
      </c>
      <c r="H88" s="81">
        <v>403</v>
      </c>
      <c r="I88" s="89">
        <v>0</v>
      </c>
      <c r="J88" s="81">
        <v>1787</v>
      </c>
      <c r="K88" s="89">
        <v>978</v>
      </c>
      <c r="L88" s="105"/>
    </row>
    <row r="89" spans="2:12" ht="18" customHeight="1" x14ac:dyDescent="0.3">
      <c r="B89" s="63" t="s">
        <v>84</v>
      </c>
      <c r="C89" s="63" t="s">
        <v>85</v>
      </c>
      <c r="D89" s="81">
        <v>1325.915</v>
      </c>
      <c r="E89" s="89">
        <v>1539.8879999999999</v>
      </c>
      <c r="F89" s="81">
        <v>477.98033900000001</v>
      </c>
      <c r="G89" s="89">
        <v>3215.2779999999998</v>
      </c>
      <c r="H89" s="81">
        <v>4604</v>
      </c>
      <c r="I89" s="89">
        <v>7407</v>
      </c>
      <c r="J89" s="81">
        <v>11972</v>
      </c>
      <c r="K89" s="89">
        <v>14358</v>
      </c>
      <c r="L89" s="105"/>
    </row>
    <row r="90" spans="2:12" x14ac:dyDescent="0.3">
      <c r="B90" s="63" t="s">
        <v>86</v>
      </c>
      <c r="C90" s="63" t="s">
        <v>87</v>
      </c>
      <c r="D90" s="81">
        <v>37.472000000000001</v>
      </c>
      <c r="E90" s="89">
        <v>52.628</v>
      </c>
      <c r="F90" s="81">
        <v>3695.1149569999998</v>
      </c>
      <c r="G90" s="89">
        <v>79.774000000000001</v>
      </c>
      <c r="H90" s="81">
        <v>321</v>
      </c>
      <c r="I90" s="89">
        <v>1054</v>
      </c>
      <c r="J90" s="81">
        <v>1520</v>
      </c>
      <c r="K90" s="89">
        <v>606</v>
      </c>
      <c r="L90" s="105"/>
    </row>
    <row r="91" spans="2:12" ht="15" thickBot="1" x14ac:dyDescent="0.35">
      <c r="B91" s="63"/>
      <c r="C91" s="63"/>
      <c r="D91" s="82"/>
      <c r="E91" s="90"/>
      <c r="F91" s="82"/>
      <c r="G91" s="90"/>
      <c r="H91" s="82"/>
      <c r="I91" s="90"/>
      <c r="J91" s="82"/>
      <c r="K91" s="90"/>
      <c r="L91" s="105"/>
    </row>
    <row r="92" spans="2:12" ht="30" thickTop="1" thickBot="1" x14ac:dyDescent="0.35">
      <c r="B92" s="65" t="s">
        <v>90</v>
      </c>
      <c r="C92" s="65" t="s">
        <v>91</v>
      </c>
      <c r="D92" s="85">
        <f t="shared" ref="D92:I92" si="20">+D82+D73+D61</f>
        <v>14819.844000000001</v>
      </c>
      <c r="E92" s="93">
        <f t="shared" si="20"/>
        <v>15927.020999999999</v>
      </c>
      <c r="F92" s="85">
        <f t="shared" si="20"/>
        <v>33211.463546000006</v>
      </c>
      <c r="G92" s="93">
        <f t="shared" si="20"/>
        <v>37837.531999999999</v>
      </c>
      <c r="H92" s="85">
        <f t="shared" si="20"/>
        <v>49095</v>
      </c>
      <c r="I92" s="93">
        <f t="shared" si="20"/>
        <v>66236</v>
      </c>
      <c r="J92" s="85">
        <f t="shared" ref="J92:K92" si="21">+J82+J73+J61</f>
        <v>83124</v>
      </c>
      <c r="K92" s="93">
        <f t="shared" si="21"/>
        <v>82683</v>
      </c>
      <c r="L92" s="105"/>
    </row>
    <row r="93" spans="2:12" ht="15" thickTop="1" x14ac:dyDescent="0.3">
      <c r="H93" s="111"/>
      <c r="I93" s="111"/>
      <c r="J93" s="111"/>
      <c r="K93" s="111"/>
    </row>
    <row r="94" spans="2:12" x14ac:dyDescent="0.3">
      <c r="H94" s="111"/>
      <c r="I94" s="111"/>
      <c r="J94" s="111"/>
      <c r="K94" s="111"/>
    </row>
    <row r="117" spans="4:11" x14ac:dyDescent="0.3">
      <c r="D117" s="72"/>
      <c r="E117" s="72"/>
      <c r="F117" s="72"/>
      <c r="G117" s="72"/>
      <c r="H117" s="72"/>
      <c r="I117" s="72"/>
      <c r="J117" s="72"/>
      <c r="K117" s="72"/>
    </row>
    <row r="118" spans="4:11" x14ac:dyDescent="0.3">
      <c r="D118" s="72"/>
      <c r="E118" s="72"/>
      <c r="F118" s="72"/>
      <c r="G118" s="72"/>
      <c r="H118" s="72"/>
      <c r="I118" s="72"/>
      <c r="J118" s="72"/>
      <c r="K118" s="72"/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43EE-4E8A-4F22-980D-DEFF20DCA540}">
  <dimension ref="A1:K93"/>
  <sheetViews>
    <sheetView zoomScale="70" zoomScaleNormal="70" workbookViewId="0">
      <selection activeCell="C25" sqref="C25"/>
    </sheetView>
  </sheetViews>
  <sheetFormatPr defaultColWidth="8.77734375" defaultRowHeight="14.4" x14ac:dyDescent="0.3"/>
  <cols>
    <col min="2" max="3" width="36.44140625" style="56" customWidth="1"/>
    <col min="4" max="4" width="12.33203125" customWidth="1"/>
    <col min="5" max="5" width="13.6640625" style="72" customWidth="1"/>
    <col min="6" max="7" width="13.33203125" style="72" bestFit="1" customWidth="1"/>
    <col min="8" max="11" width="10.77734375" customWidth="1"/>
  </cols>
  <sheetData>
    <row r="1" spans="2:11" ht="18" x14ac:dyDescent="0.35">
      <c r="D1" s="364"/>
      <c r="E1" s="364"/>
    </row>
    <row r="2" spans="2:11" x14ac:dyDescent="0.3">
      <c r="C2" s="56" t="s">
        <v>360</v>
      </c>
      <c r="D2" s="141">
        <v>309.45999999999998</v>
      </c>
      <c r="E2" s="140">
        <v>314.08</v>
      </c>
      <c r="F2" s="140">
        <v>320.57</v>
      </c>
      <c r="G2" s="140">
        <v>345.15</v>
      </c>
      <c r="H2" s="140">
        <v>354.75</v>
      </c>
      <c r="I2" s="140">
        <v>375.07</v>
      </c>
      <c r="J2" s="140">
        <v>380.94</v>
      </c>
      <c r="K2" s="140">
        <v>389.82</v>
      </c>
    </row>
    <row r="3" spans="2:11" x14ac:dyDescent="0.3">
      <c r="B3" s="57" t="s">
        <v>184</v>
      </c>
      <c r="C3" s="112" t="s">
        <v>1</v>
      </c>
      <c r="D3" s="2" t="s">
        <v>128</v>
      </c>
      <c r="E3" s="67" t="s">
        <v>102</v>
      </c>
      <c r="F3" s="67" t="s">
        <v>161</v>
      </c>
      <c r="G3" s="67" t="s">
        <v>262</v>
      </c>
      <c r="H3" s="67" t="s">
        <v>298</v>
      </c>
      <c r="I3" s="67" t="s">
        <v>308</v>
      </c>
      <c r="J3" s="67" t="s">
        <v>324</v>
      </c>
      <c r="K3" s="67" t="s">
        <v>350</v>
      </c>
    </row>
    <row r="4" spans="2:11" x14ac:dyDescent="0.3">
      <c r="B4" s="57" t="s">
        <v>93</v>
      </c>
      <c r="C4" s="113" t="s">
        <v>303</v>
      </c>
      <c r="D4" s="101" t="s">
        <v>140</v>
      </c>
      <c r="E4" s="67" t="s">
        <v>140</v>
      </c>
      <c r="F4" s="100" t="s">
        <v>140</v>
      </c>
      <c r="G4" s="100" t="s">
        <v>140</v>
      </c>
      <c r="H4" s="100" t="s">
        <v>140</v>
      </c>
      <c r="I4" s="100" t="s">
        <v>140</v>
      </c>
      <c r="J4" s="100" t="s">
        <v>140</v>
      </c>
      <c r="K4" s="100" t="s">
        <v>140</v>
      </c>
    </row>
    <row r="5" spans="2:11" ht="14.55" customHeight="1" x14ac:dyDescent="0.3">
      <c r="B5" s="58" t="s">
        <v>94</v>
      </c>
      <c r="C5" s="58" t="s">
        <v>103</v>
      </c>
      <c r="D5" s="96">
        <f>'féléves P&amp;L_mérleg'!D5/D$2*1000</f>
        <v>27902.701479997417</v>
      </c>
      <c r="E5" s="96">
        <f>'féléves P&amp;L_mérleg'!E5/E$2*1000</f>
        <v>29535.925493504841</v>
      </c>
      <c r="F5" s="96">
        <f>'féléves P&amp;L_mérleg'!F5/F$2*1000</f>
        <v>37874.544055900427</v>
      </c>
      <c r="G5" s="96">
        <f>'féléves P&amp;L_mérleg'!G5/G$2*1000</f>
        <v>46830.441836882521</v>
      </c>
      <c r="H5" s="96">
        <f>'féléves P&amp;L_mérleg'!H5/H$2*1000</f>
        <v>55760.394644115571</v>
      </c>
      <c r="I5" s="96">
        <f>'féléves P&amp;L_mérleg'!I5/I$2*1000</f>
        <v>101282.42728024103</v>
      </c>
      <c r="J5" s="96">
        <f>'féléves P&amp;L_mérleg'!J5/J$2*1000</f>
        <v>154495.57935632908</v>
      </c>
      <c r="K5" s="96">
        <f>'féléves P&amp;L_mérleg'!K5/K$2*1000</f>
        <v>127718.59832743318</v>
      </c>
    </row>
    <row r="6" spans="2:11" x14ac:dyDescent="0.3">
      <c r="B6" s="59" t="s">
        <v>129</v>
      </c>
      <c r="C6" s="59" t="s">
        <v>104</v>
      </c>
      <c r="D6" s="97">
        <f>'féléves P&amp;L_mérleg'!D6/D$2*1000</f>
        <v>-21169.672978737159</v>
      </c>
      <c r="E6" s="69">
        <f>'féléves P&amp;L_mérleg'!E6/E$2*1000</f>
        <v>-22967.968664034644</v>
      </c>
      <c r="F6" s="74">
        <f>'féléves P&amp;L_mérleg'!F6/F$2*1000</f>
        <v>-26140.555950338465</v>
      </c>
      <c r="G6" s="69">
        <f>'féléves P&amp;L_mérleg'!G6/G$2*1000</f>
        <v>-31686.403013182677</v>
      </c>
      <c r="H6" s="74">
        <f>'féléves P&amp;L_mérleg'!H6/H$2*1000</f>
        <v>-30959.83086680761</v>
      </c>
      <c r="I6" s="69">
        <f>'féléves P&amp;L_mérleg'!I6/I$2*1000</f>
        <v>-58695.710134108303</v>
      </c>
      <c r="J6" s="74">
        <f>'féléves P&amp;L_mérleg'!J6/J$2*1000</f>
        <v>-99608.374022155709</v>
      </c>
      <c r="K6" s="69">
        <f>'féléves P&amp;L_mérleg'!K6/K$2*1000</f>
        <v>-82127.9898414653</v>
      </c>
    </row>
    <row r="7" spans="2:11" x14ac:dyDescent="0.3">
      <c r="B7" s="60" t="s">
        <v>105</v>
      </c>
      <c r="C7" s="60" t="s">
        <v>106</v>
      </c>
      <c r="D7" s="98">
        <f>'féléves P&amp;L_mérleg'!D7/D$2*1000</f>
        <v>-3578.1102565759711</v>
      </c>
      <c r="E7" s="70">
        <f>'féléves P&amp;L_mérleg'!E7/E$2*1000</f>
        <v>-3965.2297376464594</v>
      </c>
      <c r="F7" s="75">
        <f>'féléves P&amp;L_mérleg'!F7/F$2*1000</f>
        <v>-4025.6839286271324</v>
      </c>
      <c r="G7" s="70">
        <f>'féléves P&amp;L_mérleg'!G7/G$2*1000</f>
        <v>-4512.4699406055342</v>
      </c>
      <c r="H7" s="75">
        <f>'féléves P&amp;L_mérleg'!H7/H$2*1000</f>
        <v>-6170.5426356589151</v>
      </c>
      <c r="I7" s="70">
        <f>'féléves P&amp;L_mérleg'!I7/I$2*1000</f>
        <v>-6734.742848001707</v>
      </c>
      <c r="J7" s="75">
        <f>'féléves P&amp;L_mérleg'!J7/J$2*1000</f>
        <v>-9793.7522969496495</v>
      </c>
      <c r="K7" s="70">
        <f>'féléves P&amp;L_mérleg'!K7/K$2*1000</f>
        <v>-13071.830588476732</v>
      </c>
    </row>
    <row r="8" spans="2:11" x14ac:dyDescent="0.3">
      <c r="B8" s="60" t="s">
        <v>107</v>
      </c>
      <c r="C8" s="60" t="s">
        <v>108</v>
      </c>
      <c r="D8" s="98">
        <f>'féléves P&amp;L_mérleg'!D8/D$2*1000</f>
        <v>-918.52581916887493</v>
      </c>
      <c r="E8" s="70">
        <f>'féléves P&amp;L_mérleg'!E8/E$2*1000</f>
        <v>-1070.6133373662763</v>
      </c>
      <c r="F8" s="75">
        <f>'féléves P&amp;L_mérleg'!F8/F$2*1000</f>
        <v>-2833.5276226721153</v>
      </c>
      <c r="G8" s="70">
        <f>'féléves P&amp;L_mérleg'!G8/G$2*1000</f>
        <v>-3775.4251774590762</v>
      </c>
      <c r="H8" s="75">
        <f>'féléves P&amp;L_mérleg'!H8/H$2*1000</f>
        <v>-6164.9048625792811</v>
      </c>
      <c r="I8" s="70">
        <f>'féléves P&amp;L_mérleg'!I8/I$2*1000</f>
        <v>-5212.3603593995786</v>
      </c>
      <c r="J8" s="75">
        <f>'féléves P&amp;L_mérleg'!J8/J$2*1000</f>
        <v>-5481.2280149104845</v>
      </c>
      <c r="K8" s="70">
        <f>'féléves P&amp;L_mérleg'!K8/K$2*1000</f>
        <v>-5700.3745318352057</v>
      </c>
    </row>
    <row r="9" spans="2:11" x14ac:dyDescent="0.3">
      <c r="B9" s="60" t="s">
        <v>95</v>
      </c>
      <c r="C9" s="60" t="s">
        <v>109</v>
      </c>
      <c r="D9" s="98">
        <f>'féléves P&amp;L_mérleg'!D9/D$2*1000</f>
        <v>927.58030116977966</v>
      </c>
      <c r="E9" s="70">
        <f>'féléves P&amp;L_mérleg'!E9/E$2*1000</f>
        <v>377.82961347427408</v>
      </c>
      <c r="F9" s="75">
        <f>'féléves P&amp;L_mérleg'!F9/F$2*1000</f>
        <v>-1086.2138534485448</v>
      </c>
      <c r="G9" s="70">
        <f>'féléves P&amp;L_mérleg'!G9/G$2*1000</f>
        <v>-1541.6746342170075</v>
      </c>
      <c r="H9" s="75">
        <f>'féléves P&amp;L_mérleg'!H9/H$2*1000</f>
        <v>-1488.3720930232557</v>
      </c>
      <c r="I9" s="70">
        <f>'féléves P&amp;L_mérleg'!I9/I$2*1000</f>
        <v>-4789.5059588876738</v>
      </c>
      <c r="J9" s="75">
        <f>'féléves P&amp;L_mérleg'!J9/J$2*1000</f>
        <v>-12357.870005775188</v>
      </c>
      <c r="K9" s="70">
        <f>'féléves P&amp;L_mérleg'!K9/K$2*1000</f>
        <v>-8402.6191575598987</v>
      </c>
    </row>
    <row r="10" spans="2:11" x14ac:dyDescent="0.3">
      <c r="B10" s="60" t="s">
        <v>110</v>
      </c>
      <c r="C10" s="60" t="s">
        <v>111</v>
      </c>
      <c r="D10" s="98">
        <f>'féléves P&amp;L_mérleg'!D10/D$2*1000</f>
        <v>0</v>
      </c>
      <c r="E10" s="70">
        <f>'féléves P&amp;L_mérleg'!E10/E$2*1000</f>
        <v>-71.496055145185935</v>
      </c>
      <c r="F10" s="75">
        <f>'féléves P&amp;L_mérleg'!F10/F$2*1000</f>
        <v>-250.00415197928695</v>
      </c>
      <c r="G10" s="70">
        <f>'féléves P&amp;L_mérleg'!G10/G$2*1000</f>
        <v>-1.1038678835289006</v>
      </c>
      <c r="H10" s="75">
        <f>'féléves P&amp;L_mérleg'!H10/H$2*1000</f>
        <v>0</v>
      </c>
      <c r="I10" s="70">
        <f>'féléves P&amp;L_mérleg'!I10/I$2*1000</f>
        <v>0</v>
      </c>
      <c r="J10" s="75">
        <f>'féléves P&amp;L_mérleg'!J10/J$2*1000</f>
        <v>0</v>
      </c>
      <c r="K10" s="70">
        <f>'féléves P&amp;L_mérleg'!K10/K$2*1000</f>
        <v>0</v>
      </c>
    </row>
    <row r="11" spans="2:11" x14ac:dyDescent="0.3">
      <c r="B11" s="16" t="s">
        <v>278</v>
      </c>
      <c r="C11" s="60" t="s">
        <v>269</v>
      </c>
      <c r="D11" s="98">
        <f>'féléves P&amp;L_mérleg'!D11/D$2*1000</f>
        <v>0</v>
      </c>
      <c r="E11" s="70">
        <f>'féléves P&amp;L_mérleg'!E11/E$2*1000</f>
        <v>0</v>
      </c>
      <c r="F11" s="75">
        <f>'féléves P&amp;L_mérleg'!F11/F$2*1000</f>
        <v>0</v>
      </c>
      <c r="G11" s="70">
        <f>'féléves P&amp;L_mérleg'!G11/G$2*1000</f>
        <v>0</v>
      </c>
      <c r="H11" s="75">
        <f>'féléves P&amp;L_mérleg'!H11/H$2*1000</f>
        <v>374.91190979563072</v>
      </c>
      <c r="I11" s="70">
        <f>'féléves P&amp;L_mérleg'!I11/I$2*1000</f>
        <v>417.2554456501453</v>
      </c>
      <c r="J11" s="75">
        <f>'féléves P&amp;L_mérleg'!J11/J$2*1000</f>
        <v>777.11713130676753</v>
      </c>
      <c r="K11" s="70">
        <f>'féléves P&amp;L_mérleg'!K11/K$2*1000</f>
        <v>929.6598430044636</v>
      </c>
    </row>
    <row r="12" spans="2:11" x14ac:dyDescent="0.3">
      <c r="B12" s="53" t="s">
        <v>112</v>
      </c>
      <c r="C12" s="53" t="s">
        <v>113</v>
      </c>
      <c r="D12" s="76">
        <f>'féléves P&amp;L_mérleg'!D12/D$2*1000</f>
        <v>3163.9727266851942</v>
      </c>
      <c r="E12" s="19">
        <f>'féléves P&amp;L_mérleg'!E12/E$2*1000</f>
        <v>1838.4473127865524</v>
      </c>
      <c r="F12" s="76">
        <f>'féléves P&amp;L_mérleg'!F12/F$2*1000</f>
        <v>3538.5585488348866</v>
      </c>
      <c r="G12" s="19">
        <f>'féléves P&amp;L_mérleg'!G12/G$2*1000</f>
        <v>5313.3652035346959</v>
      </c>
      <c r="H12" s="76">
        <f>'féléves P&amp;L_mérleg'!H12/H$2*1000</f>
        <v>11351.656095842141</v>
      </c>
      <c r="I12" s="19">
        <f>'féléves P&amp;L_mérleg'!I12/I$2*1000</f>
        <v>26267.36342549391</v>
      </c>
      <c r="J12" s="76">
        <f>'féléves P&amp;L_mérleg'!J12/J$2*1000</f>
        <v>28031.472147844815</v>
      </c>
      <c r="K12" s="19">
        <f>'féléves P&amp;L_mérleg'!K12/K$2*1000</f>
        <v>19345.444051100516</v>
      </c>
    </row>
    <row r="13" spans="2:11" x14ac:dyDescent="0.3">
      <c r="B13" s="60" t="s">
        <v>114</v>
      </c>
      <c r="C13" s="60" t="s">
        <v>115</v>
      </c>
      <c r="D13" s="98">
        <f>'féléves P&amp;L_mérleg'!D13/D$2*1000</f>
        <v>-570.07367672720227</v>
      </c>
      <c r="E13" s="70">
        <f>'féléves P&amp;L_mérleg'!E13/E$2*1000</f>
        <v>-82.647061258278143</v>
      </c>
      <c r="F13" s="75">
        <f>'féléves P&amp;L_mérleg'!F13/F$2*1000</f>
        <v>-1127.1714165392893</v>
      </c>
      <c r="G13" s="70">
        <f>'féléves P&amp;L_mérleg'!G13/G$2*1000</f>
        <v>-903.95480225988706</v>
      </c>
      <c r="H13" s="75">
        <f>'féléves P&amp;L_mérleg'!H13/H$2*1000</f>
        <v>-1592.6708949964764</v>
      </c>
      <c r="I13" s="70">
        <f>'féléves P&amp;L_mérleg'!I13/I$2*1000</f>
        <v>-949.15615751726341</v>
      </c>
      <c r="J13" s="75">
        <f>'féléves P&amp;L_mérleg'!J13/J$2*1000</f>
        <v>1008.8649131096761</v>
      </c>
      <c r="K13" s="70">
        <f>'féléves P&amp;L_mérleg'!K13/K$2*1000</f>
        <v>-377.09712174849932</v>
      </c>
    </row>
    <row r="14" spans="2:11" x14ac:dyDescent="0.3">
      <c r="B14" s="54" t="s">
        <v>96</v>
      </c>
      <c r="C14" s="54" t="s">
        <v>116</v>
      </c>
      <c r="D14" s="76">
        <f>'féléves P&amp;L_mérleg'!D14/D$2*1000</f>
        <v>2593.8990499579918</v>
      </c>
      <c r="E14" s="19">
        <f>'féléves P&amp;L_mérleg'!E14/E$2*1000</f>
        <v>1755.800251528274</v>
      </c>
      <c r="F14" s="76">
        <f>'féléves P&amp;L_mérleg'!F14/F$2*1000</f>
        <v>2411.3871322955974</v>
      </c>
      <c r="G14" s="19">
        <f>'féléves P&amp;L_mérleg'!G14/G$2*1000</f>
        <v>4409.4104012748085</v>
      </c>
      <c r="H14" s="76">
        <f>'féléves P&amp;L_mérleg'!H14/H$2*1000</f>
        <v>9758.9852008456655</v>
      </c>
      <c r="I14" s="19">
        <f>'féléves P&amp;L_mérleg'!I14/I$2*1000</f>
        <v>25318.207267976646</v>
      </c>
      <c r="J14" s="76">
        <f>'féléves P&amp;L_mérleg'!J14/J$2*1000</f>
        <v>29040.337060954491</v>
      </c>
      <c r="K14" s="19">
        <f>'féléves P&amp;L_mérleg'!K14/K$2*1000</f>
        <v>18968.346929352014</v>
      </c>
    </row>
    <row r="15" spans="2:11" x14ac:dyDescent="0.3">
      <c r="B15" s="60" t="s">
        <v>97</v>
      </c>
      <c r="C15" s="60" t="s">
        <v>117</v>
      </c>
      <c r="D15" s="98">
        <f>'féléves P&amp;L_mérleg'!D15/D$2*1000</f>
        <v>-697.52148904543401</v>
      </c>
      <c r="E15" s="70">
        <f>'féléves P&amp;L_mérleg'!E15/E$2*1000</f>
        <v>-638.60894676515545</v>
      </c>
      <c r="F15" s="75">
        <f>'féléves P&amp;L_mérleg'!F15/F$2*1000</f>
        <v>-903.73180272639354</v>
      </c>
      <c r="G15" s="70">
        <f>'féléves P&amp;L_mérleg'!G15/G$2*1000</f>
        <v>-1326.9592930609881</v>
      </c>
      <c r="H15" s="75">
        <f>'féléves P&amp;L_mérleg'!H15/H$2*1000</f>
        <v>-1809.7251585623678</v>
      </c>
      <c r="I15" s="70">
        <f>'féléves P&amp;L_mérleg'!I15/I$2*1000</f>
        <v>-3799.2907990508438</v>
      </c>
      <c r="J15" s="75">
        <f>'féléves P&amp;L_mérleg'!J15/J$2*1000</f>
        <v>-5748.8922139969554</v>
      </c>
      <c r="K15" s="70">
        <f>'féléves P&amp;L_mérleg'!K15/K$2*1000</f>
        <v>-3968.498281258017</v>
      </c>
    </row>
    <row r="16" spans="2:11" x14ac:dyDescent="0.3">
      <c r="B16" s="200" t="s">
        <v>264</v>
      </c>
      <c r="C16" s="201" t="s">
        <v>265</v>
      </c>
      <c r="D16" s="98">
        <f>'féléves P&amp;L_mérleg'!D16/D$2*1000</f>
        <v>0</v>
      </c>
      <c r="E16" s="70">
        <f>'féléves P&amp;L_mérleg'!E16/E$2*1000</f>
        <v>0</v>
      </c>
      <c r="F16" s="75">
        <f>'féléves P&amp;L_mérleg'!F16/F$2*1000</f>
        <v>0</v>
      </c>
      <c r="G16" s="70">
        <f>'féléves P&amp;L_mérleg'!G16/G$2*1000</f>
        <v>0</v>
      </c>
      <c r="H16" s="75">
        <f>'féléves P&amp;L_mérleg'!H16/H$2*1000</f>
        <v>0</v>
      </c>
      <c r="I16" s="70">
        <f>'féléves P&amp;L_mérleg'!I16/I$2*1000</f>
        <v>0</v>
      </c>
      <c r="J16" s="75">
        <f>'féléves P&amp;L_mérleg'!J16/J$2*1000</f>
        <v>0</v>
      </c>
      <c r="K16" s="70">
        <f>'féléves P&amp;L_mérleg'!K16/K$2*1000</f>
        <v>0</v>
      </c>
    </row>
    <row r="17" spans="1:11" ht="28.8" x14ac:dyDescent="0.3">
      <c r="B17" s="54" t="s">
        <v>98</v>
      </c>
      <c r="C17" s="54" t="s">
        <v>118</v>
      </c>
      <c r="D17" s="76">
        <f>'féléves P&amp;L_mérleg'!D17/D$2*1000</f>
        <v>1896.3775609125578</v>
      </c>
      <c r="E17" s="19">
        <f>'féléves P&amp;L_mérleg'!E17/E$2*1000</f>
        <v>1117.1913047631188</v>
      </c>
      <c r="F17" s="76">
        <f>'féléves P&amp;L_mérleg'!F17/F$2*1000</f>
        <v>1507.6553295692038</v>
      </c>
      <c r="G17" s="19">
        <f>'féléves P&amp;L_mérleg'!G17/G$2*1000</f>
        <v>3082.451108213821</v>
      </c>
      <c r="H17" s="76">
        <f>'féléves P&amp;L_mérleg'!H17/H$2*1000</f>
        <v>7949.2600422832984</v>
      </c>
      <c r="I17" s="19">
        <f>'féléves P&amp;L_mérleg'!I17/I$2*1000</f>
        <v>21518.916468925803</v>
      </c>
      <c r="J17" s="76">
        <f>'féléves P&amp;L_mérleg'!J17/J$2*1000</f>
        <v>23291.444846957536</v>
      </c>
      <c r="K17" s="19">
        <f>'féléves P&amp;L_mérleg'!K17/K$2*1000</f>
        <v>14999.848648093996</v>
      </c>
    </row>
    <row r="18" spans="1:11" x14ac:dyDescent="0.3">
      <c r="B18" s="61" t="s">
        <v>99</v>
      </c>
      <c r="C18" s="60" t="s">
        <v>119</v>
      </c>
      <c r="D18" s="98">
        <f>'féléves P&amp;L_mérleg'!D18/D$2*1000</f>
        <v>1901.1374652620696</v>
      </c>
      <c r="E18" s="70">
        <f>'féléves P&amp;L_mérleg'!E18/E$2*1000</f>
        <v>1120.1487678298522</v>
      </c>
      <c r="F18" s="75">
        <f>'féléves P&amp;L_mérleg'!F18/F$2*1000</f>
        <v>1508.4907258945004</v>
      </c>
      <c r="G18" s="70">
        <f>'féléves P&amp;L_mérleg'!G18/G$2*1000</f>
        <v>3076.9230769230771</v>
      </c>
      <c r="H18" s="75">
        <f>'féléves P&amp;L_mérleg'!H18/H$2*1000</f>
        <v>7943.6222692036645</v>
      </c>
      <c r="I18" s="70">
        <f>'féléves P&amp;L_mérleg'!I18/I$2*1000</f>
        <v>21507.985176100461</v>
      </c>
      <c r="J18" s="75">
        <f>'féléves P&amp;L_mérleg'!J18/J$2*1000</f>
        <v>23523.113876200976</v>
      </c>
      <c r="K18" s="70">
        <f>'féléves P&amp;L_mérleg'!K18/K$2*1000</f>
        <v>14578.523421066133</v>
      </c>
    </row>
    <row r="19" spans="1:11" ht="28.8" x14ac:dyDescent="0.3">
      <c r="B19" s="62" t="s">
        <v>120</v>
      </c>
      <c r="C19" s="62" t="s">
        <v>121</v>
      </c>
      <c r="D19" s="99">
        <f>'féléves P&amp;L_mérleg'!D19/D$2*1000</f>
        <v>-4.7599043495120537</v>
      </c>
      <c r="E19" s="71">
        <f>'féléves P&amp;L_mérleg'!E19/E$2*1000</f>
        <v>-2.95746306673459</v>
      </c>
      <c r="F19" s="77">
        <f>'féléves P&amp;L_mérleg'!F19/F$2*1000</f>
        <v>-0.8353963252955674</v>
      </c>
      <c r="G19" s="71">
        <f>'féléves P&amp;L_mérleg'!G19/G$2*1000</f>
        <v>5.7945820657685063</v>
      </c>
      <c r="H19" s="77">
        <f>'féléves P&amp;L_mérleg'!H19/H$2*1000</f>
        <v>5.6377730796335452</v>
      </c>
      <c r="I19" s="71">
        <f>'féléves P&amp;L_mérleg'!I19/I$2*1000</f>
        <v>10.664675927160264</v>
      </c>
      <c r="J19" s="77">
        <f>'féléves P&amp;L_mérleg'!J19/J$2*1000</f>
        <v>-231.66902924345041</v>
      </c>
      <c r="K19" s="71">
        <f>'féléves P&amp;L_mérleg'!K19/K$2*1000</f>
        <v>420.70699297111486</v>
      </c>
    </row>
    <row r="20" spans="1:11" ht="15" thickBot="1" x14ac:dyDescent="0.35">
      <c r="B20" s="60" t="s">
        <v>122</v>
      </c>
      <c r="C20" s="60" t="s">
        <v>123</v>
      </c>
      <c r="D20" s="98">
        <f>'féléves P&amp;L_mérleg'!D20/D$2*1000</f>
        <v>0</v>
      </c>
      <c r="E20" s="70">
        <f>'féléves P&amp;L_mérleg'!E20/E$2*1000</f>
        <v>-368.84138436067246</v>
      </c>
      <c r="F20" s="75">
        <f>'féléves P&amp;L_mérleg'!F20/F$2*1000</f>
        <v>-3310.7035062544837</v>
      </c>
      <c r="G20" s="70">
        <f>'féléves P&amp;L_mérleg'!G20/G$2*1000</f>
        <v>2238.4731276256703</v>
      </c>
      <c r="H20" s="75">
        <f>'féléves P&amp;L_mérleg'!H20/H$2*1000</f>
        <v>8577.8717406624382</v>
      </c>
      <c r="I20" s="70">
        <f>'féléves P&amp;L_mérleg'!I20/I$2*1000</f>
        <v>11555.176367078146</v>
      </c>
      <c r="J20" s="75">
        <f>'féléves P&amp;L_mérleg'!J20/J$2*1000</f>
        <v>-4844.2668136714437</v>
      </c>
      <c r="K20" s="70">
        <f>'féléves P&amp;L_mérleg'!K20/K$2*1000</f>
        <v>4997.1781848032424</v>
      </c>
    </row>
    <row r="21" spans="1:11" ht="30" thickTop="1" thickBot="1" x14ac:dyDescent="0.35">
      <c r="B21" s="55" t="s">
        <v>100</v>
      </c>
      <c r="C21" s="55" t="s">
        <v>124</v>
      </c>
      <c r="D21" s="78">
        <f>'féléves P&amp;L_mérleg'!D21/D$2*1000</f>
        <v>1896.3775609125578</v>
      </c>
      <c r="E21" s="25">
        <f>'féléves P&amp;L_mérleg'!E21/E$2*1000</f>
        <v>748.34992040244617</v>
      </c>
      <c r="F21" s="78">
        <f>'féléves P&amp;L_mérleg'!F21/F$2*1000</f>
        <v>-1803.0481766852802</v>
      </c>
      <c r="G21" s="25">
        <f>'féléves P&amp;L_mérleg'!G21/G$2*1000</f>
        <v>5320.9242358394904</v>
      </c>
      <c r="H21" s="78">
        <f>'féléves P&amp;L_mérleg'!H21/H$2*1000</f>
        <v>16527.131782945737</v>
      </c>
      <c r="I21" s="25">
        <f>'féléves P&amp;L_mérleg'!I21/I$2*1000</f>
        <v>33074.092836003947</v>
      </c>
      <c r="J21" s="78">
        <f>'féléves P&amp;L_mérleg'!J21/J$2*1000</f>
        <v>18447.178033286094</v>
      </c>
      <c r="K21" s="25">
        <f>'féléves P&amp;L_mérleg'!K21/K$2*1000</f>
        <v>19997.026832897242</v>
      </c>
    </row>
    <row r="22" spans="1:11" ht="15" thickTop="1" x14ac:dyDescent="0.3">
      <c r="B22" s="60" t="s">
        <v>99</v>
      </c>
      <c r="C22" s="60" t="s">
        <v>119</v>
      </c>
      <c r="D22" s="98">
        <f>'féléves P&amp;L_mérleg'!D22/D$2*1000</f>
        <v>0</v>
      </c>
      <c r="E22" s="70">
        <f>'féléves P&amp;L_mérleg'!E22/E$2*1000</f>
        <v>751.30738346917985</v>
      </c>
      <c r="F22" s="75">
        <f>'féléves P&amp;L_mérleg'!F22/F$2*1000</f>
        <v>-1802.212780359984</v>
      </c>
      <c r="G22" s="70">
        <f>'féléves P&amp;L_mérleg'!G22/G$2*1000</f>
        <v>5316.5290453426051</v>
      </c>
      <c r="H22" s="75">
        <f>'féléves P&amp;L_mérleg'!H22/H$2*1000</f>
        <v>16521.494009866103</v>
      </c>
      <c r="I22" s="70">
        <f>'féléves P&amp;L_mérleg'!I22/I$2*1000</f>
        <v>33063.161543178612</v>
      </c>
      <c r="J22" s="75">
        <f>'féléves P&amp;L_mérleg'!J22/J$2*1000</f>
        <v>18678.847062529541</v>
      </c>
      <c r="K22" s="70">
        <f>'féléves P&amp;L_mérleg'!K22/K$2*1000</f>
        <v>19575.701605869377</v>
      </c>
    </row>
    <row r="23" spans="1:11" ht="29.4" thickBot="1" x14ac:dyDescent="0.35">
      <c r="B23" s="60" t="s">
        <v>120</v>
      </c>
      <c r="C23" s="62" t="s">
        <v>121</v>
      </c>
      <c r="D23" s="98">
        <f>'féléves P&amp;L_mérleg'!D23/D$2*1000</f>
        <v>0</v>
      </c>
      <c r="E23" s="70">
        <f>'féléves P&amp;L_mérleg'!E23/E$2*1000</f>
        <v>-2.95746306673459</v>
      </c>
      <c r="F23" s="75">
        <f>'féléves P&amp;L_mérleg'!F23/F$2*1000</f>
        <v>-0.8353963252955674</v>
      </c>
      <c r="G23" s="70">
        <f>'féléves P&amp;L_mérleg'!G23/G$2*1000</f>
        <v>5.7945820657685063</v>
      </c>
      <c r="H23" s="75">
        <f>'féléves P&amp;L_mérleg'!H23/H$2*1000</f>
        <v>5.6377730796335452</v>
      </c>
      <c r="I23" s="70">
        <f>'féléves P&amp;L_mérleg'!I23/I$2*1000</f>
        <v>10.664675927160264</v>
      </c>
      <c r="J23" s="75">
        <f>'féléves P&amp;L_mérleg'!J23/J$2*1000</f>
        <v>-231.66902924345041</v>
      </c>
      <c r="K23" s="70">
        <f>'féléves P&amp;L_mérleg'!K23/K$2*1000</f>
        <v>420.70699297111486</v>
      </c>
    </row>
    <row r="24" spans="1:11" ht="15.6" thickTop="1" thickBot="1" x14ac:dyDescent="0.35">
      <c r="B24" s="55" t="s">
        <v>101</v>
      </c>
      <c r="C24" s="55" t="s">
        <v>101</v>
      </c>
      <c r="D24" s="78">
        <f>'féléves P&amp;L_mérleg'!D24/D$2*1000</f>
        <v>4082.4985458540687</v>
      </c>
      <c r="E24" s="25">
        <f>'féléves P&amp;L_mérleg'!E24/E$2*1000</f>
        <v>2980.5567052980141</v>
      </c>
      <c r="F24" s="78">
        <f>'féléves P&amp;L_mérleg'!F24/F$2*1000</f>
        <v>6622.090323486289</v>
      </c>
      <c r="G24" s="25">
        <f>'féléves P&amp;L_mérleg'!G24/G$2*1000</f>
        <v>9089.8942488773027</v>
      </c>
      <c r="H24" s="78">
        <f>'féléves P&amp;L_mérleg'!H24/H$2*1000</f>
        <v>17513.742071881607</v>
      </c>
      <c r="I24" s="25">
        <f>'féléves P&amp;L_mérleg'!I24/I$2*1000</f>
        <v>31482.123336977096</v>
      </c>
      <c r="J24" s="78">
        <f>'féléves P&amp;L_mérleg'!J24/J$2*1000</f>
        <v>33512.700162755318</v>
      </c>
      <c r="K24" s="25">
        <f>'féléves P&amp;L_mérleg'!K24/K$2*1000</f>
        <v>25044.892514493869</v>
      </c>
    </row>
    <row r="25" spans="1:11" ht="15" thickTop="1" x14ac:dyDescent="0.3">
      <c r="H25" s="72"/>
      <c r="I25" s="72"/>
      <c r="J25" s="72"/>
      <c r="K25" s="72"/>
    </row>
    <row r="26" spans="1:11" ht="18" x14ac:dyDescent="0.35">
      <c r="D26" s="364"/>
      <c r="E26" s="364"/>
      <c r="H26" s="72"/>
      <c r="I26" s="72"/>
      <c r="J26" s="72"/>
      <c r="K26" s="72"/>
    </row>
    <row r="27" spans="1:11" x14ac:dyDescent="0.3">
      <c r="C27" s="56" t="s">
        <v>361</v>
      </c>
      <c r="D27" s="72">
        <v>308.87</v>
      </c>
      <c r="E27" s="72">
        <v>328.6</v>
      </c>
      <c r="F27" s="72">
        <v>322.76</v>
      </c>
      <c r="G27" s="72">
        <v>356.57</v>
      </c>
      <c r="H27" s="249">
        <v>351.9</v>
      </c>
      <c r="I27" s="249">
        <v>396.75</v>
      </c>
      <c r="J27" s="249">
        <v>371.13</v>
      </c>
      <c r="K27" s="249">
        <v>395.15</v>
      </c>
    </row>
    <row r="28" spans="1:11" x14ac:dyDescent="0.3">
      <c r="A28" s="1" t="s">
        <v>0</v>
      </c>
      <c r="B28" s="112" t="s">
        <v>356</v>
      </c>
      <c r="C28" s="112" t="s">
        <v>1</v>
      </c>
      <c r="D28" s="104">
        <v>42916</v>
      </c>
      <c r="E28" s="102">
        <v>43281</v>
      </c>
      <c r="F28" s="104">
        <v>43646</v>
      </c>
      <c r="G28" s="104">
        <v>44012</v>
      </c>
      <c r="H28" s="104">
        <v>44377</v>
      </c>
      <c r="I28" s="104">
        <v>44742</v>
      </c>
      <c r="J28" s="104">
        <v>45107</v>
      </c>
      <c r="K28" s="104">
        <v>45473</v>
      </c>
    </row>
    <row r="29" spans="1:11" ht="15" customHeight="1" thickBot="1" x14ac:dyDescent="0.35">
      <c r="B29" s="112" t="s">
        <v>93</v>
      </c>
      <c r="C29" s="113" t="s">
        <v>303</v>
      </c>
      <c r="D29" s="101" t="s">
        <v>130</v>
      </c>
      <c r="E29" s="67" t="s">
        <v>130</v>
      </c>
      <c r="F29" s="67" t="s">
        <v>130</v>
      </c>
      <c r="G29" s="67" t="s">
        <v>130</v>
      </c>
      <c r="H29" s="67" t="s">
        <v>130</v>
      </c>
      <c r="I29" s="67" t="s">
        <v>130</v>
      </c>
      <c r="J29" s="67" t="s">
        <v>130</v>
      </c>
      <c r="K29" s="67" t="s">
        <v>130</v>
      </c>
    </row>
    <row r="30" spans="1:11" ht="15" thickBot="1" x14ac:dyDescent="0.35">
      <c r="B30" s="64" t="s">
        <v>3</v>
      </c>
      <c r="C30" s="64" t="s">
        <v>4</v>
      </c>
      <c r="D30" s="80">
        <f t="shared" ref="D30:K30" si="0">SUM(D31:D42)</f>
        <v>20768.320005180172</v>
      </c>
      <c r="E30" s="88">
        <f t="shared" si="0"/>
        <v>27329.315276932444</v>
      </c>
      <c r="F30" s="80">
        <f t="shared" si="0"/>
        <v>74628.38917771721</v>
      </c>
      <c r="G30" s="250">
        <f t="shared" si="0"/>
        <v>72268.29234091485</v>
      </c>
      <c r="H30" s="80">
        <f t="shared" si="0"/>
        <v>85203.46689400397</v>
      </c>
      <c r="I30" s="250">
        <f t="shared" si="0"/>
        <v>78208.191556395686</v>
      </c>
      <c r="J30" s="80">
        <f t="shared" si="0"/>
        <v>102189.25982809259</v>
      </c>
      <c r="K30" s="250">
        <f t="shared" si="0"/>
        <v>122842.21181829686</v>
      </c>
    </row>
    <row r="31" spans="1:11" ht="18" customHeight="1" x14ac:dyDescent="0.3">
      <c r="B31" s="63" t="s">
        <v>5</v>
      </c>
      <c r="C31" s="63" t="s">
        <v>165</v>
      </c>
      <c r="D31" s="81">
        <f>'féléves P&amp;L_mérleg'!D31/D$27*1000</f>
        <v>15967.49117751805</v>
      </c>
      <c r="E31" s="89">
        <f>'féléves P&amp;L_mérleg'!E31/E$27*1000</f>
        <v>18908.198417528911</v>
      </c>
      <c r="F31" s="81">
        <f>'féléves P&amp;L_mérleg'!F31/F$27*1000</f>
        <v>51720.199798611975</v>
      </c>
      <c r="G31" s="251">
        <f>'féléves P&amp;L_mérleg'!G31/G$27*1000</f>
        <v>55644.62517878678</v>
      </c>
      <c r="H31" s="81">
        <f>'féléves P&amp;L_mérleg'!H31/H$27*1000</f>
        <v>70437.624325092358</v>
      </c>
      <c r="I31" s="251">
        <f>'féléves P&amp;L_mérleg'!I31/I$27*1000</f>
        <v>63911.783238815377</v>
      </c>
      <c r="J31" s="81">
        <f>'féléves P&amp;L_mérleg'!J31/J$27*1000</f>
        <v>81017.433244415704</v>
      </c>
      <c r="K31" s="251">
        <f>'féléves P&amp;L_mérleg'!K31/K$27*1000</f>
        <v>100650.3859293939</v>
      </c>
    </row>
    <row r="32" spans="1:11" ht="16.2" customHeight="1" x14ac:dyDescent="0.3">
      <c r="B32" s="63" t="s">
        <v>7</v>
      </c>
      <c r="C32" s="63" t="s">
        <v>8</v>
      </c>
      <c r="D32" s="81">
        <f>'féléves P&amp;L_mérleg'!D32/D$27*1000</f>
        <v>106.20001942564834</v>
      </c>
      <c r="E32" s="89">
        <f>'féléves P&amp;L_mérleg'!E32/E$27*1000</f>
        <v>139.63481436396836</v>
      </c>
      <c r="F32" s="81">
        <f>'féléves P&amp;L_mérleg'!F32/F$27*1000</f>
        <v>132.61495538480605</v>
      </c>
      <c r="G32" s="251">
        <f>'féléves P&amp;L_mérleg'!G32/G$27*1000</f>
        <v>240.42404016041729</v>
      </c>
      <c r="H32" s="81">
        <f>'féléves P&amp;L_mérleg'!H32/H$27*1000</f>
        <v>252.91275930662121</v>
      </c>
      <c r="I32" s="251">
        <f>'féléves P&amp;L_mérleg'!I32/I$27*1000</f>
        <v>0</v>
      </c>
      <c r="J32" s="81">
        <f>'féléves P&amp;L_mérleg'!J32/J$27*1000</f>
        <v>0</v>
      </c>
      <c r="K32" s="251">
        <f>'féléves P&amp;L_mérleg'!K32/K$27*1000</f>
        <v>0</v>
      </c>
    </row>
    <row r="33" spans="2:11" x14ac:dyDescent="0.3">
      <c r="B33" s="63" t="s">
        <v>9</v>
      </c>
      <c r="C33" s="63" t="s">
        <v>10</v>
      </c>
      <c r="D33" s="81">
        <f>'féléves P&amp;L_mérleg'!D33/D$27*1000</f>
        <v>1899.2456373231457</v>
      </c>
      <c r="E33" s="89">
        <f>'féléves P&amp;L_mérleg'!E33/E$27*1000</f>
        <v>764.86609860012163</v>
      </c>
      <c r="F33" s="81">
        <f>'féléves P&amp;L_mérleg'!F33/F$27*1000</f>
        <v>788.25924216135832</v>
      </c>
      <c r="G33" s="251">
        <f>'féléves P&amp;L_mérleg'!G33/G$27*1000</f>
        <v>292.72232661188548</v>
      </c>
      <c r="H33" s="81">
        <f>'féléves P&amp;L_mérleg'!H33/H$27*1000</f>
        <v>0</v>
      </c>
      <c r="I33" s="251">
        <f>'féléves P&amp;L_mérleg'!I33/I$27*1000</f>
        <v>0</v>
      </c>
      <c r="J33" s="81">
        <f>'féléves P&amp;L_mérleg'!J33/J$27*1000</f>
        <v>0</v>
      </c>
      <c r="K33" s="251">
        <f>'féléves P&amp;L_mérleg'!K33/K$27*1000</f>
        <v>0</v>
      </c>
    </row>
    <row r="34" spans="2:11" x14ac:dyDescent="0.3">
      <c r="B34" s="63" t="s">
        <v>12</v>
      </c>
      <c r="C34" s="63" t="s">
        <v>13</v>
      </c>
      <c r="D34" s="81">
        <f>'féléves P&amp;L_mérleg'!D34/D$27*1000</f>
        <v>178.00692848123805</v>
      </c>
      <c r="E34" s="89">
        <f>'féléves P&amp;L_mérleg'!E34/E$27*1000</f>
        <v>12.230675593426659</v>
      </c>
      <c r="F34" s="81">
        <f>'féléves P&amp;L_mérleg'!F34/F$27*1000</f>
        <v>51.229607138431035</v>
      </c>
      <c r="G34" s="251">
        <f>'féléves P&amp;L_mérleg'!G34/G$27*1000</f>
        <v>8.6687046021819008</v>
      </c>
      <c r="H34" s="81">
        <f>'féléves P&amp;L_mérleg'!H34/H$27*1000</f>
        <v>0</v>
      </c>
      <c r="I34" s="251">
        <f>'féléves P&amp;L_mérleg'!I34/I$27*1000</f>
        <v>0</v>
      </c>
      <c r="J34" s="81">
        <f>'féléves P&amp;L_mérleg'!J34/J$27*1000</f>
        <v>0</v>
      </c>
      <c r="K34" s="251">
        <f>'féléves P&amp;L_mérleg'!K34/K$27*1000</f>
        <v>0</v>
      </c>
    </row>
    <row r="35" spans="2:11" x14ac:dyDescent="0.3">
      <c r="B35" s="63" t="s">
        <v>14</v>
      </c>
      <c r="C35" s="63" t="s">
        <v>15</v>
      </c>
      <c r="D35" s="81">
        <f>'féléves P&amp;L_mérleg'!D35/D$27*1000</f>
        <v>686.48622397772522</v>
      </c>
      <c r="E35" s="89">
        <f>'féléves P&amp;L_mérleg'!E35/E$27*1000</f>
        <v>1769.50091296409</v>
      </c>
      <c r="F35" s="81">
        <f>'féléves P&amp;L_mérleg'!F35/F$27*1000</f>
        <v>14380.716578882144</v>
      </c>
      <c r="G35" s="251">
        <f>'féléves P&amp;L_mérleg'!G35/G$27*1000</f>
        <v>8422.0433575455027</v>
      </c>
      <c r="H35" s="81">
        <f>'féléves P&amp;L_mérleg'!H35/H$27*1000</f>
        <v>7928.3887468030689</v>
      </c>
      <c r="I35" s="251">
        <f>'féléves P&amp;L_mérleg'!I35/I$27*1000</f>
        <v>6031.5059861373657</v>
      </c>
      <c r="J35" s="81">
        <f>'féléves P&amp;L_mérleg'!J35/J$27*1000</f>
        <v>7013.7148707999895</v>
      </c>
      <c r="K35" s="251">
        <f>'féléves P&amp;L_mérleg'!K35/K$27*1000</f>
        <v>7258.0032898899162</v>
      </c>
    </row>
    <row r="36" spans="2:11" x14ac:dyDescent="0.3">
      <c r="B36" s="63" t="s">
        <v>16</v>
      </c>
      <c r="C36" s="63" t="s">
        <v>17</v>
      </c>
      <c r="D36" s="81">
        <f>'féléves P&amp;L_mérleg'!D36/D$27*1000</f>
        <v>1042.1989833910707</v>
      </c>
      <c r="E36" s="89">
        <f>'féléves P&amp;L_mérleg'!E36/E$27*1000</f>
        <v>4295.3925745587339</v>
      </c>
      <c r="F36" s="81">
        <f>'féléves P&amp;L_mérleg'!F36/F$27*1000</f>
        <v>4426.0884558185653</v>
      </c>
      <c r="G36" s="251">
        <f>'féléves P&amp;L_mérleg'!G36/G$27*1000</f>
        <v>3813.0549401239591</v>
      </c>
      <c r="H36" s="81">
        <f>'féléves P&amp;L_mérleg'!H36/H$27*1000</f>
        <v>3194.089229894857</v>
      </c>
      <c r="I36" s="251">
        <f>'féléves P&amp;L_mérleg'!I36/I$27*1000</f>
        <v>2495.2741020793951</v>
      </c>
      <c r="J36" s="81">
        <f>'féléves P&amp;L_mérleg'!J36/J$27*1000</f>
        <v>2325.3307466386445</v>
      </c>
      <c r="K36" s="251">
        <f>'féléves P&amp;L_mérleg'!K36/K$27*1000</f>
        <v>1865.1145134758954</v>
      </c>
    </row>
    <row r="37" spans="2:11" x14ac:dyDescent="0.3">
      <c r="B37" s="63" t="s">
        <v>163</v>
      </c>
      <c r="C37" s="63" t="s">
        <v>183</v>
      </c>
      <c r="D37" s="81">
        <f>'féléves P&amp;L_mérleg'!D37/D$27*1000</f>
        <v>0</v>
      </c>
      <c r="E37" s="89">
        <f>'féléves P&amp;L_mérleg'!E37/E$27*1000</f>
        <v>0</v>
      </c>
      <c r="F37" s="81">
        <f>'féléves P&amp;L_mérleg'!F37/F$27*1000</f>
        <v>1952.2666377494113</v>
      </c>
      <c r="G37" s="251">
        <f>'féléves P&amp;L_mérleg'!G37/G$27*1000</f>
        <v>2635.2665675743892</v>
      </c>
      <c r="H37" s="81">
        <f>'féléves P&amp;L_mérleg'!H37/H$27*1000</f>
        <v>2841.716396703609</v>
      </c>
      <c r="I37" s="251">
        <f>'féléves P&amp;L_mérleg'!I37/I$27*1000</f>
        <v>4478.8909892879656</v>
      </c>
      <c r="J37" s="81">
        <f>'féléves P&amp;L_mérleg'!J37/J$27*1000</f>
        <v>6499.0704065960708</v>
      </c>
      <c r="K37" s="251">
        <f>'féléves P&amp;L_mérleg'!K37/K$27*1000</f>
        <v>6557.0036694925984</v>
      </c>
    </row>
    <row r="38" spans="2:11" x14ac:dyDescent="0.3">
      <c r="B38" s="63" t="s">
        <v>18</v>
      </c>
      <c r="C38" t="s">
        <v>18</v>
      </c>
      <c r="D38" s="81">
        <f>'féléves P&amp;L_mérleg'!D38/D$27*1000</f>
        <v>0</v>
      </c>
      <c r="E38" s="89">
        <f>'féléves P&amp;L_mérleg'!E38/E$27*1000</f>
        <v>0</v>
      </c>
      <c r="F38" s="81">
        <f>'féléves P&amp;L_mérleg'!F38/F$27*1000</f>
        <v>0</v>
      </c>
      <c r="G38" s="251">
        <f>'féléves P&amp;L_mérleg'!G38/G$27*1000</f>
        <v>522.53134026979274</v>
      </c>
      <c r="H38" s="81">
        <f>'féléves P&amp;L_mérleg'!H38/H$27*1000</f>
        <v>0</v>
      </c>
      <c r="I38" s="251">
        <f>'féléves P&amp;L_mérleg'!I38/I$27*1000</f>
        <v>0</v>
      </c>
      <c r="J38" s="81">
        <f>'féléves P&amp;L_mérleg'!J38/J$27*1000</f>
        <v>2523.1051114164848</v>
      </c>
      <c r="K38" s="251">
        <f>'féléves P&amp;L_mérleg'!K38/K$27*1000</f>
        <v>2578.7675566240669</v>
      </c>
    </row>
    <row r="39" spans="2:11" x14ac:dyDescent="0.3">
      <c r="B39" s="63" t="s">
        <v>20</v>
      </c>
      <c r="C39" t="s">
        <v>21</v>
      </c>
      <c r="D39" s="81">
        <f>'féléves P&amp;L_mérleg'!D39/D$27*1000</f>
        <v>196.11487033379737</v>
      </c>
      <c r="E39" s="89">
        <f>'féléves P&amp;L_mérleg'!E39/E$27*1000</f>
        <v>870.09129640900778</v>
      </c>
      <c r="F39" s="81">
        <f>'féléves P&amp;L_mérleg'!F39/F$27*1000</f>
        <v>556.56897075226175</v>
      </c>
      <c r="G39" s="251">
        <f>'féléves P&amp;L_mérleg'!G39/G$27*1000</f>
        <v>488.67543539837902</v>
      </c>
      <c r="H39" s="81">
        <f>'féléves P&amp;L_mérleg'!H39/H$27*1000</f>
        <v>269.96305768684289</v>
      </c>
      <c r="I39" s="251">
        <f>'féléves P&amp;L_mérleg'!I39/I$27*1000</f>
        <v>50.40957781978576</v>
      </c>
      <c r="J39" s="81">
        <f>'féléves P&amp;L_mérleg'!J39/J$27*1000</f>
        <v>212.86341713146336</v>
      </c>
      <c r="K39" s="251">
        <f>'féléves P&amp;L_mérleg'!K39/K$27*1000</f>
        <v>389.72542072630648</v>
      </c>
    </row>
    <row r="40" spans="2:11" x14ac:dyDescent="0.3">
      <c r="B40" s="63" t="s">
        <v>131</v>
      </c>
      <c r="C40" t="s">
        <v>23</v>
      </c>
      <c r="D40" s="81">
        <f>'féléves P&amp;L_mérleg'!D40/D$27*1000</f>
        <v>692.25240392398086</v>
      </c>
      <c r="E40" s="89">
        <f>'féléves P&amp;L_mérleg'!E40/E$27*1000</f>
        <v>569.09616555082164</v>
      </c>
      <c r="F40" s="81">
        <f>'féléves P&amp;L_mérleg'!F40/F$27*1000</f>
        <v>620.13510348246382</v>
      </c>
      <c r="G40" s="251">
        <f>'féléves P&amp;L_mérleg'!G40/G$27*1000</f>
        <v>199.99999999999997</v>
      </c>
      <c r="H40" s="81">
        <f>'féléves P&amp;L_mérleg'!H40/H$27*1000</f>
        <v>278.48820687695371</v>
      </c>
      <c r="I40" s="251">
        <f>'féléves P&amp;L_mérleg'!I40/I$27*1000</f>
        <v>1240.0756143667297</v>
      </c>
      <c r="J40" s="81">
        <f>'féléves P&amp;L_mérleg'!J40/J$27*1000</f>
        <v>2597.4725837307683</v>
      </c>
      <c r="K40" s="251">
        <f>'féléves P&amp;L_mérleg'!K40/K$27*1000</f>
        <v>3542.9583702391501</v>
      </c>
    </row>
    <row r="41" spans="2:11" x14ac:dyDescent="0.3">
      <c r="B41" s="63" t="s">
        <v>132</v>
      </c>
      <c r="C41" t="s">
        <v>180</v>
      </c>
      <c r="D41" s="81">
        <f>'féléves P&amp;L_mérleg'!D41/D$27*1000</f>
        <v>0.32376080551688413</v>
      </c>
      <c r="E41" s="89">
        <f>'féléves P&amp;L_mérleg'!E41/E$27*1000</f>
        <v>0.30432136335970783</v>
      </c>
      <c r="F41" s="81">
        <f>'féléves P&amp;L_mérleg'!F41/F$27*1000</f>
        <v>0.30982773577890699</v>
      </c>
      <c r="G41" s="251">
        <f>'féléves P&amp;L_mérleg'!G41/G$27*1000</f>
        <v>0.28044984154583952</v>
      </c>
      <c r="H41" s="81">
        <f>'féléves P&amp;L_mérleg'!H41/H$27*1000</f>
        <v>0.28417163967036096</v>
      </c>
      <c r="I41" s="251">
        <f>'féléves P&amp;L_mérleg'!I41/I$27*1000</f>
        <v>0.25204788909892878</v>
      </c>
      <c r="J41" s="81">
        <f>'féléves P&amp;L_mérleg'!J41/J$27*1000</f>
        <v>0.26944736345754861</v>
      </c>
      <c r="K41" s="251">
        <f>'féléves P&amp;L_mérleg'!K41/K$27*1000</f>
        <v>0.25306845501708214</v>
      </c>
    </row>
    <row r="42" spans="2:11" ht="15" thickBot="1" x14ac:dyDescent="0.35">
      <c r="B42" s="63"/>
      <c r="C42" s="63"/>
      <c r="D42" s="82">
        <f>'féléves P&amp;L_mérleg'!D42/D$27*1000</f>
        <v>0</v>
      </c>
      <c r="E42" s="90">
        <f>'féléves P&amp;L_mérleg'!E42/E$27*1000</f>
        <v>0</v>
      </c>
      <c r="F42" s="82">
        <f>'féléves P&amp;L_mérleg'!F42/F$27*1000</f>
        <v>0</v>
      </c>
      <c r="G42" s="252">
        <f>'féléves P&amp;L_mérleg'!G42/G$27*1000</f>
        <v>0</v>
      </c>
      <c r="H42" s="82">
        <f>'féléves P&amp;L_mérleg'!H42/H$27*1000</f>
        <v>0</v>
      </c>
      <c r="I42" s="252">
        <f>'féléves P&amp;L_mérleg'!I42/I$27*1000</f>
        <v>0</v>
      </c>
      <c r="J42" s="82">
        <f>'féléves P&amp;L_mérleg'!J42/J$27*1000</f>
        <v>0</v>
      </c>
      <c r="K42" s="252">
        <f>'féléves P&amp;L_mérleg'!K42/K$27*1000</f>
        <v>0</v>
      </c>
    </row>
    <row r="43" spans="2:11" ht="29.4" thickBot="1" x14ac:dyDescent="0.35">
      <c r="B43" s="64" t="s">
        <v>133</v>
      </c>
      <c r="C43" s="64" t="s">
        <v>26</v>
      </c>
      <c r="D43" s="83">
        <f>'féléves P&amp;L_mérleg'!D43/D$27*1000</f>
        <v>27212.526305565447</v>
      </c>
      <c r="E43" s="91">
        <f>'féléves P&amp;L_mérleg'!E43/E$27*1000</f>
        <v>21140.012172854535</v>
      </c>
      <c r="F43" s="83">
        <f>'féléves P&amp;L_mérleg'!F43/F$27*1000</f>
        <v>28269.936345891685</v>
      </c>
      <c r="G43" s="253">
        <f>'féléves P&amp;L_mérleg'!G43/G$27*1000</f>
        <v>33847.006197941497</v>
      </c>
      <c r="H43" s="83">
        <f>'féléves P&amp;L_mérleg'!H43/H$27*1000</f>
        <v>54310.883773799374</v>
      </c>
      <c r="I43" s="253">
        <f>'féléves P&amp;L_mérleg'!I43/I$27*1000</f>
        <v>88738.500315059864</v>
      </c>
      <c r="J43" s="83">
        <f>'féléves P&amp;L_mérleg'!J43/J$27*1000</f>
        <v>121784.81933554281</v>
      </c>
      <c r="K43" s="253">
        <f>'féléves P&amp;L_mérleg'!K43/K$27*1000</f>
        <v>86402.631911932185</v>
      </c>
    </row>
    <row r="44" spans="2:11" x14ac:dyDescent="0.3">
      <c r="B44" s="63" t="s">
        <v>27</v>
      </c>
      <c r="C44" s="63" t="s">
        <v>28</v>
      </c>
      <c r="D44" s="84">
        <f>'féléves P&amp;L_mérleg'!D44/D$27*1000</f>
        <v>472.25369896720304</v>
      </c>
      <c r="E44" s="92">
        <f>'féléves P&amp;L_mérleg'!E44/E$27*1000</f>
        <v>442.09068776628112</v>
      </c>
      <c r="F44" s="84">
        <f>'féléves P&amp;L_mérleg'!F44/F$27*1000</f>
        <v>924.59083219729837</v>
      </c>
      <c r="G44" s="254">
        <f>'féléves P&amp;L_mérleg'!G44/G$27*1000</f>
        <v>975.76632919202405</v>
      </c>
      <c r="H44" s="84">
        <f>'féléves P&amp;L_mérleg'!H44/H$27*1000</f>
        <v>1602.7280477408356</v>
      </c>
      <c r="I44" s="254">
        <f>'féléves P&amp;L_mérleg'!I44/I$27*1000</f>
        <v>3258.9792060491495</v>
      </c>
      <c r="J44" s="84">
        <f>'féléves P&amp;L_mérleg'!J44/J$27*1000</f>
        <v>3222.5904669522811</v>
      </c>
      <c r="K44" s="254">
        <f>'féléves P&amp;L_mérleg'!K44/K$27*1000</f>
        <v>2900.1644944957616</v>
      </c>
    </row>
    <row r="45" spans="2:11" x14ac:dyDescent="0.3">
      <c r="B45" s="63" t="s">
        <v>29</v>
      </c>
      <c r="C45" s="63" t="s">
        <v>30</v>
      </c>
      <c r="D45" s="84">
        <f>'féléves P&amp;L_mérleg'!D45/D$27*1000</f>
        <v>10691.439764302133</v>
      </c>
      <c r="E45" s="92">
        <f>'féléves P&amp;L_mérleg'!E45/E$27*1000</f>
        <v>4936.725502130249</v>
      </c>
      <c r="F45" s="84">
        <f>'féléves P&amp;L_mérleg'!F45/F$27*1000</f>
        <v>7748.7554312802085</v>
      </c>
      <c r="G45" s="254">
        <f>'féléves P&amp;L_mérleg'!G45/G$27*1000</f>
        <v>8415.5257032279769</v>
      </c>
      <c r="H45" s="84">
        <f>'féléves P&amp;L_mérleg'!H45/H$27*1000</f>
        <v>7368.5706166524587</v>
      </c>
      <c r="I45" s="254">
        <f>'féléves P&amp;L_mérleg'!I45/I$27*1000</f>
        <v>14568.367989918084</v>
      </c>
      <c r="J45" s="84">
        <f>'féléves P&amp;L_mérleg'!J45/J$27*1000</f>
        <v>15433.944978848382</v>
      </c>
      <c r="K45" s="254">
        <f>'féléves P&amp;L_mérleg'!K45/K$27*1000</f>
        <v>23785.904087055547</v>
      </c>
    </row>
    <row r="46" spans="2:11" x14ac:dyDescent="0.3">
      <c r="B46" s="63" t="s">
        <v>12</v>
      </c>
      <c r="C46" s="63" t="s">
        <v>13</v>
      </c>
      <c r="D46" s="84">
        <f>'féléves P&amp;L_mérleg'!D46/D$27*1000</f>
        <v>0</v>
      </c>
      <c r="E46" s="92">
        <f>'féléves P&amp;L_mérleg'!E46/E$27*1000</f>
        <v>0</v>
      </c>
      <c r="F46" s="84">
        <f>'féléves P&amp;L_mérleg'!F46/F$27*1000</f>
        <v>0</v>
      </c>
      <c r="G46" s="254">
        <f>'féléves P&amp;L_mérleg'!G46/G$27*1000</f>
        <v>0</v>
      </c>
      <c r="H46" s="84">
        <f>'féléves P&amp;L_mérleg'!H46/H$27*1000</f>
        <v>0</v>
      </c>
      <c r="I46" s="254">
        <f>'féléves P&amp;L_mérleg'!I46/I$27*1000</f>
        <v>3170.7624448645242</v>
      </c>
      <c r="J46" s="84">
        <f>'féléves P&amp;L_mérleg'!J46/J$27*1000</f>
        <v>0</v>
      </c>
      <c r="K46" s="254">
        <f>'féléves P&amp;L_mérleg'!K46/K$27*1000</f>
        <v>0</v>
      </c>
    </row>
    <row r="47" spans="2:11" x14ac:dyDescent="0.3">
      <c r="B47" s="63" t="s">
        <v>31</v>
      </c>
      <c r="C47" s="63" t="s">
        <v>32</v>
      </c>
      <c r="D47" s="84">
        <f>'féléves P&amp;L_mérleg'!D47/D$27*1000</f>
        <v>2689.141062582964</v>
      </c>
      <c r="E47" s="92">
        <f>'féléves P&amp;L_mérleg'!E47/E$27*1000</f>
        <v>2618.3536214242235</v>
      </c>
      <c r="F47" s="84">
        <f>'féléves P&amp;L_mérleg'!F47/F$27*1000</f>
        <v>967.96628144751514</v>
      </c>
      <c r="G47" s="254">
        <f>'féléves P&amp;L_mérleg'!G47/G$27*1000</f>
        <v>486.72350450121991</v>
      </c>
      <c r="H47" s="84">
        <f>'féléves P&amp;L_mérleg'!H47/H$27*1000</f>
        <v>0</v>
      </c>
      <c r="I47" s="254">
        <f>'féléves P&amp;L_mérleg'!I47/I$27*1000</f>
        <v>31861.373660995589</v>
      </c>
      <c r="J47" s="84">
        <f>'féléves P&amp;L_mérleg'!J47/J$27*1000</f>
        <v>2519.3328483280793</v>
      </c>
      <c r="K47" s="254">
        <f>'féléves P&amp;L_mérleg'!K47/K$27*1000</f>
        <v>3348.0956598759967</v>
      </c>
    </row>
    <row r="48" spans="2:11" x14ac:dyDescent="0.3">
      <c r="B48" s="63" t="s">
        <v>186</v>
      </c>
      <c r="C48" t="s">
        <v>179</v>
      </c>
      <c r="D48" s="84">
        <f>'féléves P&amp;L_mérleg'!D48/D$27*1000</f>
        <v>1494.7194612620196</v>
      </c>
      <c r="E48" s="92">
        <f>'féléves P&amp;L_mérleg'!E48/E$27*1000</f>
        <v>1505.9768715763844</v>
      </c>
      <c r="F48" s="84">
        <f>'féléves P&amp;L_mérleg'!F48/F$27*1000</f>
        <v>975.3038666501426</v>
      </c>
      <c r="G48" s="254">
        <f>'féléves P&amp;L_mérleg'!G48/G$27*1000</f>
        <v>2833.4099896233556</v>
      </c>
      <c r="H48" s="84">
        <f>'féléves P&amp;L_mérleg'!H48/H$27*1000</f>
        <v>312.58880363739701</v>
      </c>
      <c r="I48" s="254">
        <f>'féléves P&amp;L_mérleg'!I48/I$27*1000</f>
        <v>0</v>
      </c>
      <c r="J48" s="84">
        <f>'féléves P&amp;L_mérleg'!J48/J$27*1000</f>
        <v>12639.775819793604</v>
      </c>
      <c r="K48" s="254">
        <f>'féléves P&amp;L_mérleg'!K48/K$27*1000</f>
        <v>9502.7204858914338</v>
      </c>
    </row>
    <row r="49" spans="2:11" ht="28.8" x14ac:dyDescent="0.3">
      <c r="B49" s="63" t="s">
        <v>33</v>
      </c>
      <c r="C49" s="63" t="s">
        <v>34</v>
      </c>
      <c r="D49" s="84">
        <f>'féléves P&amp;L_mérleg'!D49/D$27*1000</f>
        <v>3190.0443552303559</v>
      </c>
      <c r="E49" s="92">
        <f>'féléves P&amp;L_mérleg'!E49/E$27*1000</f>
        <v>7072.1332927571502</v>
      </c>
      <c r="F49" s="84">
        <f>'féléves P&amp;L_mérleg'!F49/F$27*1000</f>
        <v>6688.419506754245</v>
      </c>
      <c r="G49" s="254">
        <f>'féléves P&amp;L_mérleg'!G49/G$27*1000</f>
        <v>8424.9207729197642</v>
      </c>
      <c r="H49" s="84">
        <f>'féléves P&amp;L_mérleg'!H49/H$27*1000</f>
        <v>13978.402955385054</v>
      </c>
      <c r="I49" s="254">
        <f>'féléves P&amp;L_mérleg'!I49/I$27*1000</f>
        <v>16035.28670447385</v>
      </c>
      <c r="J49" s="84">
        <f>'féléves P&amp;L_mérleg'!J49/J$27*1000</f>
        <v>20407.943308274727</v>
      </c>
      <c r="K49" s="254">
        <f>'féléves P&amp;L_mérleg'!K49/K$27*1000</f>
        <v>18494.242692648364</v>
      </c>
    </row>
    <row r="50" spans="2:11" x14ac:dyDescent="0.3">
      <c r="B50" s="63" t="s">
        <v>35</v>
      </c>
      <c r="C50" s="63" t="s">
        <v>36</v>
      </c>
      <c r="D50" s="84">
        <f>'féléves P&amp;L_mérleg'!D50/D$27*1000</f>
        <v>113.5299640625506</v>
      </c>
      <c r="E50" s="92">
        <f>'féléves P&amp;L_mérleg'!E50/E$27*1000</f>
        <v>370.98600121728543</v>
      </c>
      <c r="F50" s="84">
        <f>'féléves P&amp;L_mérleg'!F50/F$27*1000</f>
        <v>450.68922728962696</v>
      </c>
      <c r="G50" s="254">
        <f>'féléves P&amp;L_mérleg'!G50/G$27*1000</f>
        <v>0</v>
      </c>
      <c r="H50" s="84">
        <f>'féléves P&amp;L_mérleg'!H50/H$27*1000</f>
        <v>10718.954248366013</v>
      </c>
      <c r="I50" s="254">
        <f>'féléves P&amp;L_mérleg'!I50/I$27*1000</f>
        <v>5.0409577819785758</v>
      </c>
      <c r="J50" s="84">
        <f>'féléves P&amp;L_mérleg'!J50/J$27*1000</f>
        <v>0</v>
      </c>
      <c r="K50" s="254">
        <f>'féléves P&amp;L_mérleg'!K50/K$27*1000</f>
        <v>1308.3639124383146</v>
      </c>
    </row>
    <row r="51" spans="2:11" x14ac:dyDescent="0.3">
      <c r="B51" s="63" t="s">
        <v>37</v>
      </c>
      <c r="C51" s="63" t="s">
        <v>38</v>
      </c>
      <c r="D51" s="84">
        <f>'féléves P&amp;L_mérleg'!D51/D$27*1000</f>
        <v>8561.3979991582219</v>
      </c>
      <c r="E51" s="92">
        <f>'féléves P&amp;L_mérleg'!E51/E$27*1000</f>
        <v>4087.2337188070605</v>
      </c>
      <c r="F51" s="84">
        <f>'féléves P&amp;L_mérleg'!F51/F$27*1000</f>
        <v>7225.7219265088606</v>
      </c>
      <c r="G51" s="254">
        <f>'féléves P&amp;L_mérleg'!G51/G$27*1000</f>
        <v>11129.281767955801</v>
      </c>
      <c r="H51" s="84">
        <f>'féléves P&amp;L_mérleg'!H51/H$27*1000</f>
        <v>20329.63910201762</v>
      </c>
      <c r="I51" s="254">
        <f>'féléves P&amp;L_mérleg'!I51/I$27*1000</f>
        <v>19838.689350976685</v>
      </c>
      <c r="J51" s="84">
        <f>'féléves P&amp;L_mérleg'!J51/J$27*1000</f>
        <v>67561.23191334572</v>
      </c>
      <c r="K51" s="254">
        <f>'féléves P&amp;L_mérleg'!K51/K$27*1000</f>
        <v>27063.140579526764</v>
      </c>
    </row>
    <row r="52" spans="2:11" x14ac:dyDescent="0.3">
      <c r="B52" s="63" t="s">
        <v>162</v>
      </c>
      <c r="C52" t="s">
        <v>182</v>
      </c>
      <c r="D52" s="84">
        <f>'féléves P&amp;L_mérleg'!D52/D$27*1000</f>
        <v>0</v>
      </c>
      <c r="E52" s="92">
        <f>'féléves P&amp;L_mérleg'!E52/E$27*1000</f>
        <v>0</v>
      </c>
      <c r="F52" s="84">
        <f>'féléves P&amp;L_mérleg'!F52/F$27*1000</f>
        <v>3272.997886974842</v>
      </c>
      <c r="G52" s="254">
        <f>'féléves P&amp;L_mérleg'!G52/G$27*1000</f>
        <v>1581.3781305213561</v>
      </c>
      <c r="H52" s="84">
        <f>'féléves P&amp;L_mérleg'!H52/H$27*1000</f>
        <v>0</v>
      </c>
      <c r="I52" s="254">
        <f>'féléves P&amp;L_mérleg'!I52/I$27*1000</f>
        <v>0</v>
      </c>
      <c r="J52" s="84">
        <f>'féléves P&amp;L_mérleg'!J52/J$27*1000</f>
        <v>0</v>
      </c>
      <c r="K52" s="254">
        <f>'féléves P&amp;L_mérleg'!K52/K$27*1000</f>
        <v>0</v>
      </c>
    </row>
    <row r="53" spans="2:11" x14ac:dyDescent="0.3">
      <c r="B53" s="63" t="s">
        <v>39</v>
      </c>
      <c r="C53" s="63" t="s">
        <v>40</v>
      </c>
      <c r="D53" s="84"/>
      <c r="E53" s="92">
        <f>'féléves P&amp;L_mérleg'!E53/E$27*1000</f>
        <v>106.51247717589773</v>
      </c>
      <c r="F53" s="84">
        <f>'féléves P&amp;L_mérleg'!F53/F$27*1000</f>
        <v>15.491386788945348</v>
      </c>
      <c r="G53" s="254">
        <f>'féléves P&amp;L_mérleg'!G53/G$27*1000</f>
        <v>0</v>
      </c>
      <c r="H53" s="84">
        <f>'féléves P&amp;L_mérleg'!H53/H$27*1000</f>
        <v>0</v>
      </c>
      <c r="I53" s="254">
        <f>'féléves P&amp;L_mérleg'!I53/I$27*1000</f>
        <v>0</v>
      </c>
      <c r="J53" s="84">
        <f>'féléves P&amp;L_mérleg'!J53/J$27*1000</f>
        <v>0</v>
      </c>
      <c r="K53" s="254">
        <f>'féléves P&amp;L_mérleg'!K53/K$27*1000</f>
        <v>0</v>
      </c>
    </row>
    <row r="54" spans="2:11" ht="15" thickBot="1" x14ac:dyDescent="0.35">
      <c r="B54" s="63"/>
      <c r="C54" s="63"/>
      <c r="D54" s="82">
        <f>'féléves P&amp;L_mérleg'!D54/D$27*1000</f>
        <v>0</v>
      </c>
      <c r="E54" s="90">
        <f>'féléves P&amp;L_mérleg'!E54/E$27*1000</f>
        <v>0</v>
      </c>
      <c r="F54" s="82">
        <f>'féléves P&amp;L_mérleg'!F54/F$27*1000</f>
        <v>0</v>
      </c>
      <c r="G54" s="252">
        <f>'féléves P&amp;L_mérleg'!G54/G$27*1000</f>
        <v>0</v>
      </c>
      <c r="H54" s="82">
        <f>'féléves P&amp;L_mérleg'!H54/H$27*1000</f>
        <v>0</v>
      </c>
      <c r="I54" s="252">
        <f>'féléves P&amp;L_mérleg'!I54/I$27*1000</f>
        <v>0</v>
      </c>
      <c r="J54" s="82">
        <f>'féléves P&amp;L_mérleg'!J54/J$27*1000</f>
        <v>0</v>
      </c>
      <c r="K54" s="252">
        <f>'féléves P&amp;L_mérleg'!K54/K$27*1000</f>
        <v>0</v>
      </c>
    </row>
    <row r="55" spans="2:11" ht="15.6" thickTop="1" thickBot="1" x14ac:dyDescent="0.35">
      <c r="B55" s="65" t="s">
        <v>41</v>
      </c>
      <c r="C55" s="65" t="s">
        <v>42</v>
      </c>
      <c r="D55" s="85">
        <f>'féléves P&amp;L_mérleg'!D55/D$27*1000</f>
        <v>47980.846310745619</v>
      </c>
      <c r="E55" s="93">
        <f>'féléves P&amp;L_mérleg'!E55/E$27*1000</f>
        <v>48469.327449786972</v>
      </c>
      <c r="F55" s="85">
        <f>'féléves P&amp;L_mérleg'!F55/F$27*1000</f>
        <v>102898.32552360887</v>
      </c>
      <c r="G55" s="255">
        <f>'féléves P&amp;L_mérleg'!G55/G$27*1000</f>
        <v>106115.29853885631</v>
      </c>
      <c r="H55" s="85">
        <f>'féléves P&amp;L_mérleg'!H55/H$27*1000</f>
        <v>139514.35066780337</v>
      </c>
      <c r="I55" s="255">
        <f>'féléves P&amp;L_mérleg'!I55/I$27*1000</f>
        <v>166946.69187145558</v>
      </c>
      <c r="J55" s="85">
        <f>'féléves P&amp;L_mérleg'!J55/J$27*1000</f>
        <v>223974.07916363538</v>
      </c>
      <c r="K55" s="255">
        <f>'féléves P&amp;L_mérleg'!K55/K$27*1000</f>
        <v>209244.84373022907</v>
      </c>
    </row>
    <row r="56" spans="2:11" ht="15" thickTop="1" x14ac:dyDescent="0.3">
      <c r="D56" s="107"/>
      <c r="E56" s="107"/>
      <c r="F56" s="107"/>
      <c r="G56" s="107"/>
      <c r="H56" s="107"/>
      <c r="I56" s="107"/>
      <c r="J56" s="107"/>
      <c r="K56" s="107"/>
    </row>
    <row r="57" spans="2:11" ht="18" x14ac:dyDescent="0.35">
      <c r="D57" s="364" t="s">
        <v>166</v>
      </c>
      <c r="E57" s="364"/>
      <c r="H57" s="72"/>
      <c r="I57" s="72"/>
      <c r="J57" s="72"/>
      <c r="K57" s="72"/>
    </row>
    <row r="58" spans="2:11" x14ac:dyDescent="0.3">
      <c r="D58" s="72">
        <v>308.87</v>
      </c>
      <c r="E58" s="72">
        <v>328.6</v>
      </c>
      <c r="F58" s="72">
        <v>322.76</v>
      </c>
      <c r="G58" s="72">
        <f>+G27</f>
        <v>356.57</v>
      </c>
      <c r="H58" s="72">
        <f>+H27</f>
        <v>351.9</v>
      </c>
      <c r="I58" s="72">
        <f>+I27</f>
        <v>396.75</v>
      </c>
      <c r="J58" s="72">
        <f>+J27</f>
        <v>371.13</v>
      </c>
      <c r="K58" s="72">
        <f>+K27</f>
        <v>395.15</v>
      </c>
    </row>
    <row r="59" spans="2:11" x14ac:dyDescent="0.3">
      <c r="B59" s="112"/>
      <c r="C59" s="112" t="s">
        <v>1</v>
      </c>
      <c r="D59" s="108">
        <v>42916</v>
      </c>
      <c r="E59" s="108">
        <v>43281</v>
      </c>
      <c r="F59" s="108">
        <v>43646</v>
      </c>
      <c r="G59" s="108">
        <v>44012</v>
      </c>
      <c r="H59" s="108">
        <v>44377</v>
      </c>
      <c r="I59" s="108">
        <v>44742</v>
      </c>
      <c r="J59" s="108">
        <v>45107</v>
      </c>
      <c r="K59" s="102">
        <v>45473</v>
      </c>
    </row>
    <row r="60" spans="2:11" ht="15" customHeight="1" thickBot="1" x14ac:dyDescent="0.35">
      <c r="B60" s="112" t="s">
        <v>92</v>
      </c>
      <c r="C60" s="113" t="s">
        <v>126</v>
      </c>
      <c r="D60" s="110" t="s">
        <v>130</v>
      </c>
      <c r="E60" s="110" t="s">
        <v>130</v>
      </c>
      <c r="F60" s="110" t="s">
        <v>130</v>
      </c>
      <c r="G60" s="110" t="s">
        <v>130</v>
      </c>
      <c r="H60" s="110" t="s">
        <v>130</v>
      </c>
      <c r="I60" s="110" t="s">
        <v>130</v>
      </c>
      <c r="J60" s="110" t="s">
        <v>130</v>
      </c>
      <c r="K60" s="110" t="s">
        <v>130</v>
      </c>
    </row>
    <row r="61" spans="2:11" ht="15" thickBot="1" x14ac:dyDescent="0.35">
      <c r="B61" s="64" t="s">
        <v>43</v>
      </c>
      <c r="C61" s="64" t="s">
        <v>44</v>
      </c>
      <c r="D61" s="83">
        <f t="shared" ref="D61:K61" si="1">+D62+D71</f>
        <v>15116.178327451678</v>
      </c>
      <c r="E61" s="91">
        <f t="shared" si="1"/>
        <v>15533.895313451003</v>
      </c>
      <c r="F61" s="83">
        <f t="shared" si="1"/>
        <v>19550.617409220471</v>
      </c>
      <c r="G61" s="253">
        <f t="shared" si="1"/>
        <v>21276.576829234091</v>
      </c>
      <c r="H61" s="83">
        <f t="shared" si="1"/>
        <v>39889.173060528563</v>
      </c>
      <c r="I61" s="253">
        <f t="shared" si="1"/>
        <v>73741.650913673599</v>
      </c>
      <c r="J61" s="83">
        <f t="shared" si="1"/>
        <v>87785.951014469305</v>
      </c>
      <c r="K61" s="253">
        <f t="shared" si="1"/>
        <v>85327.090978109569</v>
      </c>
    </row>
    <row r="62" spans="2:11" ht="16.2" customHeight="1" x14ac:dyDescent="0.3">
      <c r="B62" s="66" t="s">
        <v>134</v>
      </c>
      <c r="C62" s="66" t="s">
        <v>46</v>
      </c>
      <c r="D62" s="86">
        <f t="shared" ref="D62:K62" si="2">SUM(D63:D69)</f>
        <v>15212.024476316898</v>
      </c>
      <c r="E62" s="94">
        <f t="shared" si="2"/>
        <v>15614.936092513693</v>
      </c>
      <c r="F62" s="86">
        <f t="shared" si="2"/>
        <v>19572.640389143635</v>
      </c>
      <c r="G62" s="256">
        <f t="shared" si="2"/>
        <v>21260.857615615445</v>
      </c>
      <c r="H62" s="86">
        <f t="shared" si="2"/>
        <v>39860.755896561524</v>
      </c>
      <c r="I62" s="256">
        <f t="shared" si="2"/>
        <v>73706.364209199746</v>
      </c>
      <c r="J62" s="86">
        <f t="shared" si="2"/>
        <v>87794.034435373032</v>
      </c>
      <c r="K62" s="256">
        <f t="shared" si="2"/>
        <v>84800.708591674033</v>
      </c>
    </row>
    <row r="63" spans="2:11" x14ac:dyDescent="0.3">
      <c r="B63" s="63" t="s">
        <v>47</v>
      </c>
      <c r="C63" s="63" t="s">
        <v>48</v>
      </c>
      <c r="D63" s="81">
        <f>'féléves P&amp;L_mérleg'!D63/D$27*1000</f>
        <v>632.59623789943987</v>
      </c>
      <c r="E63" s="89">
        <f>'féléves P&amp;L_mérleg'!E63/E$27*1000</f>
        <v>594.61351186853301</v>
      </c>
      <c r="F63" s="81">
        <f>'féléves P&amp;L_mérleg'!F63/F$27*1000</f>
        <v>721.2228900731194</v>
      </c>
      <c r="G63" s="251">
        <f>'féléves P&amp;L_mérleg'!G63/G$27*1000</f>
        <v>653.36960484617339</v>
      </c>
      <c r="H63" s="81">
        <f>'féléves P&amp;L_mérleg'!H63/H$27*1000</f>
        <v>673.48678601875531</v>
      </c>
      <c r="I63" s="251">
        <f>'féléves P&amp;L_mérleg'!I63/I$27*1000</f>
        <v>627.59924385633269</v>
      </c>
      <c r="J63" s="81">
        <f>'féléves P&amp;L_mérleg'!J63/J$27*1000</f>
        <v>668.22946137472047</v>
      </c>
      <c r="K63" s="251">
        <f>'féléves P&amp;L_mérleg'!K63/K$27*1000</f>
        <v>630.14045299253451</v>
      </c>
    </row>
    <row r="64" spans="2:11" x14ac:dyDescent="0.3">
      <c r="B64" s="63" t="s">
        <v>178</v>
      </c>
      <c r="C64" s="63" t="s">
        <v>49</v>
      </c>
      <c r="D64" s="84">
        <f>'féléves P&amp;L_mérleg'!D64/D$27*1000</f>
        <v>9974.5459254702637</v>
      </c>
      <c r="E64" s="89">
        <f>'féléves P&amp;L_mérleg'!E64/E$27*1000</f>
        <v>9375.6482045039575</v>
      </c>
      <c r="F64" s="81">
        <f>'féléves P&amp;L_mérleg'!F64/F$27*1000</f>
        <v>15624.560407113644</v>
      </c>
      <c r="G64" s="251">
        <f>'féléves P&amp;L_mérleg'!G64/G$27*1000</f>
        <v>14184.68463415318</v>
      </c>
      <c r="H64" s="81">
        <f>'féléves P&amp;L_mérleg'!H64/H$27*1000</f>
        <v>15382.210855356636</v>
      </c>
      <c r="I64" s="251">
        <f>'féléves P&amp;L_mérleg'!I64/I$27*1000</f>
        <v>16403.276622558289</v>
      </c>
      <c r="J64" s="81">
        <f>'féléves P&amp;L_mérleg'!J64/J$27*1000</f>
        <v>15789.615498612346</v>
      </c>
      <c r="K64" s="251">
        <f>'féléves P&amp;L_mérleg'!K64/K$27*1000</f>
        <v>16510.186005314437</v>
      </c>
    </row>
    <row r="65" spans="2:11" x14ac:dyDescent="0.3">
      <c r="B65" s="63" t="s">
        <v>50</v>
      </c>
      <c r="C65" s="63" t="s">
        <v>51</v>
      </c>
      <c r="D65" s="81">
        <f>'féléves P&amp;L_mérleg'!D65/D$27*1000</f>
        <v>236.88283096448342</v>
      </c>
      <c r="E65" s="89">
        <f>'féléves P&amp;L_mérleg'!E65/E$27*1000</f>
        <v>254.83870967741933</v>
      </c>
      <c r="F65" s="81">
        <f>'féléves P&amp;L_mérleg'!F65/F$27*1000</f>
        <v>287.17967220225552</v>
      </c>
      <c r="G65" s="251">
        <f>'féléves P&amp;L_mérleg'!G65/G$27*1000</f>
        <v>187.19466023501698</v>
      </c>
      <c r="H65" s="81">
        <f>'féléves P&amp;L_mérleg'!H65/H$27*1000</f>
        <v>579.71014492753625</v>
      </c>
      <c r="I65" s="251">
        <f>'féléves P&amp;L_mérleg'!I65/I$27*1000</f>
        <v>-3909.2627599243856</v>
      </c>
      <c r="J65" s="81">
        <f>'féléves P&amp;L_mérleg'!J65/J$27*1000</f>
        <v>-5073.69385390564</v>
      </c>
      <c r="K65" s="251">
        <f>'féléves P&amp;L_mérleg'!K65/K$27*1000</f>
        <v>-5663.6720232822981</v>
      </c>
    </row>
    <row r="66" spans="2:11" x14ac:dyDescent="0.3">
      <c r="B66" s="63" t="s">
        <v>52</v>
      </c>
      <c r="C66" s="63" t="s">
        <v>53</v>
      </c>
      <c r="D66" s="81">
        <f>'féléves P&amp;L_mérleg'!D66/D$27*1000</f>
        <v>5447.8000453265131</v>
      </c>
      <c r="E66" s="89">
        <f>'féléves P&amp;L_mérleg'!E66/E$27*1000</f>
        <v>6416.8563603164939</v>
      </c>
      <c r="F66" s="81">
        <f>'féléves P&amp;L_mérleg'!F66/F$27*1000</f>
        <v>7750.3340190853887</v>
      </c>
      <c r="G66" s="251">
        <f>'féléves P&amp;L_mérleg'!G66/G$27*1000</f>
        <v>9417.076590851726</v>
      </c>
      <c r="H66" s="81">
        <f>'féléves P&amp;L_mérleg'!H66/H$27*1000</f>
        <v>14904.80250071043</v>
      </c>
      <c r="I66" s="251">
        <f>'féléves P&amp;L_mérleg'!I66/I$27*1000</f>
        <v>36284.814114681787</v>
      </c>
      <c r="J66" s="81">
        <f>'féléves P&amp;L_mérleg'!J66/J$27*1000</f>
        <v>75806.321235146708</v>
      </c>
      <c r="K66" s="251">
        <f>'féléves P&amp;L_mérleg'!K66/K$27*1000</f>
        <v>74440.086043274699</v>
      </c>
    </row>
    <row r="67" spans="2:11" x14ac:dyDescent="0.3">
      <c r="B67" s="63" t="s">
        <v>135</v>
      </c>
      <c r="C67" s="63" t="s">
        <v>55</v>
      </c>
      <c r="D67" s="81">
        <f>'féléves P&amp;L_mérleg'!D67/D$27*1000</f>
        <v>-590.61741185612073</v>
      </c>
      <c r="E67" s="89">
        <f>'féléves P&amp;L_mérleg'!E67/E$27*1000</f>
        <v>-555.15520389531343</v>
      </c>
      <c r="F67" s="81">
        <f>'féléves P&amp;L_mérleg'!F67/F$27*1000</f>
        <v>-596.52486367579627</v>
      </c>
      <c r="G67" s="251">
        <f>'féléves P&amp;L_mérleg'!G67/G$27*1000</f>
        <v>-539.96129792186662</v>
      </c>
      <c r="H67" s="81">
        <f>'féléves P&amp;L_mérleg'!H67/H$27*1000</f>
        <v>-1460.6422279056551</v>
      </c>
      <c r="I67" s="251">
        <f>'féléves P&amp;L_mérleg'!I67/I$27*1000</f>
        <v>0</v>
      </c>
      <c r="J67" s="81">
        <f>'féléves P&amp;L_mérleg'!J67/J$27*1000</f>
        <v>0</v>
      </c>
      <c r="K67" s="251">
        <f>'féléves P&amp;L_mérleg'!K67/K$27*1000</f>
        <v>0</v>
      </c>
    </row>
    <row r="68" spans="2:11" x14ac:dyDescent="0.3">
      <c r="B68" s="63" t="s">
        <v>56</v>
      </c>
      <c r="C68" s="63" t="s">
        <v>57</v>
      </c>
      <c r="D68" s="81">
        <f>'féléves P&amp;L_mérleg'!D68/D$27*1000</f>
        <v>-489.1831514876809</v>
      </c>
      <c r="E68" s="89">
        <f>'féléves P&amp;L_mérleg'!E68/E$27*1000</f>
        <v>-472.36762020693851</v>
      </c>
      <c r="F68" s="81">
        <f>'féléves P&amp;L_mérleg'!F68/F$27*1000</f>
        <v>-4215.1558867269805</v>
      </c>
      <c r="G68" s="251">
        <f>'féléves P&amp;L_mérleg'!G68/G$27*1000</f>
        <v>-2638.5366127268139</v>
      </c>
      <c r="H68" s="81">
        <f>'féléves P&amp;L_mérleg'!H68/H$27*1000</f>
        <v>9781.1878374538228</v>
      </c>
      <c r="I68" s="251">
        <f>'féléves P&amp;L_mérleg'!I68/I$27*1000</f>
        <v>24299.936988027723</v>
      </c>
      <c r="J68" s="81">
        <f>'féléves P&amp;L_mérleg'!J68/J$27*1000</f>
        <v>603.56209414490877</v>
      </c>
      <c r="K68" s="251">
        <f>'féléves P&amp;L_mérleg'!K68/K$27*1000</f>
        <v>-1116.0318866253322</v>
      </c>
    </row>
    <row r="69" spans="2:11" x14ac:dyDescent="0.3">
      <c r="B69" s="63" t="s">
        <v>136</v>
      </c>
      <c r="C69" s="63" t="s">
        <v>181</v>
      </c>
      <c r="D69" s="84"/>
      <c r="E69" s="89">
        <f>'féléves P&amp;L_mérleg'!E69/E$27*1000</f>
        <v>0.50213024954351793</v>
      </c>
      <c r="F69" s="81">
        <f>'féléves P&amp;L_mérleg'!F69/F$27*1000</f>
        <v>1.0241510720039657</v>
      </c>
      <c r="G69" s="251">
        <f>'féléves P&amp;L_mérleg'!G69/G$27*1000</f>
        <v>-2.9699638219704405</v>
      </c>
      <c r="H69" s="81">
        <f>'féléves P&amp;L_mérleg'!H69/H$27*1000</f>
        <v>0</v>
      </c>
      <c r="I69" s="251">
        <f>'féléves P&amp;L_mérleg'!I69/I$27*1000</f>
        <v>0</v>
      </c>
      <c r="J69" s="81">
        <f>'féléves P&amp;L_mérleg'!J69/J$27*1000</f>
        <v>0</v>
      </c>
      <c r="K69" s="251">
        <f>'féléves P&amp;L_mérleg'!K69/K$27*1000</f>
        <v>0</v>
      </c>
    </row>
    <row r="70" spans="2:11" x14ac:dyDescent="0.3">
      <c r="B70" s="63"/>
      <c r="C70" s="63"/>
      <c r="D70" s="87">
        <f>'féléves P&amp;L_mérleg'!D70/D$27*1000</f>
        <v>0</v>
      </c>
      <c r="E70" s="95">
        <f>'féléves P&amp;L_mérleg'!E70/E$27*1000</f>
        <v>0</v>
      </c>
      <c r="F70" s="81">
        <f>'féléves P&amp;L_mérleg'!F70/F$27*1000</f>
        <v>0</v>
      </c>
      <c r="G70" s="251">
        <f>'féléves P&amp;L_mérleg'!G70/G$27*1000</f>
        <v>0</v>
      </c>
      <c r="H70" s="81">
        <f>'féléves P&amp;L_mérleg'!H70/H$27*1000</f>
        <v>0</v>
      </c>
      <c r="I70" s="251">
        <f>'féléves P&amp;L_mérleg'!I70/I$27*1000</f>
        <v>0</v>
      </c>
      <c r="J70" s="81">
        <f>'féléves P&amp;L_mérleg'!J70/J$27*1000</f>
        <v>0</v>
      </c>
      <c r="K70" s="251">
        <f>'féléves P&amp;L_mérleg'!K70/K$27*1000</f>
        <v>0</v>
      </c>
    </row>
    <row r="71" spans="2:11" x14ac:dyDescent="0.3">
      <c r="B71" s="66" t="s">
        <v>59</v>
      </c>
      <c r="C71" s="63" t="s">
        <v>60</v>
      </c>
      <c r="D71" s="86">
        <f>'féléves P&amp;L_mérleg'!D71/D$27*1000</f>
        <v>-95.846148865218382</v>
      </c>
      <c r="E71" s="94">
        <f>'féléves P&amp;L_mérleg'!E71/E$27*1000</f>
        <v>-81.040779062690191</v>
      </c>
      <c r="F71" s="86">
        <f>'féléves P&amp;L_mérleg'!F71/F$27*1000</f>
        <v>-22.022979923162723</v>
      </c>
      <c r="G71" s="256">
        <f>'féléves P&amp;L_mérleg'!G71/G$27*1000</f>
        <v>15.719213618644309</v>
      </c>
      <c r="H71" s="86">
        <f>'féléves P&amp;L_mérleg'!H71/H$27*1000</f>
        <v>28.417163967036092</v>
      </c>
      <c r="I71" s="256">
        <f>'féléves P&amp;L_mérleg'!I71/I$27*1000</f>
        <v>35.28670447385003</v>
      </c>
      <c r="J71" s="86">
        <f>'féléves P&amp;L_mérleg'!J71/J$27*1000</f>
        <v>-8.0834209037264575</v>
      </c>
      <c r="K71" s="256">
        <f>'féléves P&amp;L_mérleg'!K71/K$27*1000</f>
        <v>526.38238643553086</v>
      </c>
    </row>
    <row r="72" spans="2:11" ht="15" thickBot="1" x14ac:dyDescent="0.35">
      <c r="B72" s="63"/>
      <c r="C72" s="63"/>
      <c r="D72" s="82"/>
      <c r="E72" s="90"/>
      <c r="F72" s="82"/>
      <c r="G72" s="252"/>
      <c r="H72" s="82"/>
      <c r="I72" s="252"/>
      <c r="J72" s="82"/>
      <c r="K72" s="252"/>
    </row>
    <row r="73" spans="2:11" ht="15" thickBot="1" x14ac:dyDescent="0.35">
      <c r="B73" s="64" t="s">
        <v>61</v>
      </c>
      <c r="C73" s="64" t="s">
        <v>62</v>
      </c>
      <c r="D73" s="83">
        <f t="shared" ref="D73:K73" si="3">SUM(D74:D80)</f>
        <v>20172.525658043836</v>
      </c>
      <c r="E73" s="91">
        <f t="shared" si="3"/>
        <v>19871.734631771149</v>
      </c>
      <c r="F73" s="83">
        <f t="shared" si="3"/>
        <v>61581.595426942629</v>
      </c>
      <c r="G73" s="253">
        <f t="shared" si="3"/>
        <v>61738.800235577866</v>
      </c>
      <c r="H73" s="83">
        <f t="shared" si="3"/>
        <v>69715.828360329644</v>
      </c>
      <c r="I73" s="253">
        <f t="shared" si="3"/>
        <v>63185.88531821045</v>
      </c>
      <c r="J73" s="83">
        <f t="shared" si="3"/>
        <v>84137.633713254094</v>
      </c>
      <c r="K73" s="253">
        <f t="shared" si="3"/>
        <v>70183.47462988738</v>
      </c>
    </row>
    <row r="74" spans="2:11" x14ac:dyDescent="0.3">
      <c r="B74" s="63" t="s">
        <v>63</v>
      </c>
      <c r="C74" s="63" t="s">
        <v>23</v>
      </c>
      <c r="D74" s="81">
        <f>'féléves P&amp;L_mérleg'!D74/D$27*1000</f>
        <v>6154.36267685434</v>
      </c>
      <c r="E74" s="89">
        <f>'féléves P&amp;L_mérleg'!E74/E$27*1000</f>
        <v>4958.9105295191721</v>
      </c>
      <c r="F74" s="81">
        <f>'féléves P&amp;L_mérleg'!F74/F$27*1000</f>
        <v>41139.241770975335</v>
      </c>
      <c r="G74" s="251">
        <f>'féléves P&amp;L_mérleg'!G74/G$27*1000</f>
        <v>22459.001037664413</v>
      </c>
      <c r="H74" s="81">
        <f>'féléves P&amp;L_mérleg'!H74/H$27*1000</f>
        <v>36030.122193805066</v>
      </c>
      <c r="I74" s="251">
        <f>'féléves P&amp;L_mérleg'!I74/I$27*1000</f>
        <v>31904.221802142405</v>
      </c>
      <c r="J74" s="81">
        <f>'féléves P&amp;L_mérleg'!J74/J$27*1000</f>
        <v>34106.647266456501</v>
      </c>
      <c r="K74" s="251">
        <f>'féléves P&amp;L_mérleg'!K74/K$27*1000</f>
        <v>32033.405036062257</v>
      </c>
    </row>
    <row r="75" spans="2:11" x14ac:dyDescent="0.3">
      <c r="B75" s="63" t="s">
        <v>64</v>
      </c>
      <c r="C75" s="63" t="s">
        <v>65</v>
      </c>
      <c r="D75" s="81">
        <f>'féléves P&amp;L_mérleg'!D75/D$27*1000</f>
        <v>11125.301906951145</v>
      </c>
      <c r="E75" s="89">
        <f>'féléves P&amp;L_mérleg'!E75/E$27*1000</f>
        <v>10741.749847839317</v>
      </c>
      <c r="F75" s="81">
        <f>'féléves P&amp;L_mérleg'!F75/F$27*1000</f>
        <v>13004.454033957121</v>
      </c>
      <c r="G75" s="251">
        <f>'féléves P&amp;L_mérleg'!G75/G$27*1000</f>
        <v>30729.220068990664</v>
      </c>
      <c r="H75" s="81">
        <f>'féléves P&amp;L_mérleg'!H75/H$27*1000</f>
        <v>22347.257743677183</v>
      </c>
      <c r="I75" s="251">
        <f>'féléves P&amp;L_mérleg'!I75/I$27*1000</f>
        <v>16047.889098928796</v>
      </c>
      <c r="J75" s="81">
        <f>'féléves P&amp;L_mérleg'!J75/J$27*1000</f>
        <v>28184.19421765958</v>
      </c>
      <c r="K75" s="251">
        <f>'féléves P&amp;L_mérleg'!K75/K$27*1000</f>
        <v>22429.45716816399</v>
      </c>
    </row>
    <row r="76" spans="2:11" x14ac:dyDescent="0.3">
      <c r="B76" s="63" t="s">
        <v>137</v>
      </c>
      <c r="C76" s="63" t="s">
        <v>67</v>
      </c>
      <c r="D76" s="81">
        <f>'féléves P&amp;L_mérleg'!D76/D$27*1000</f>
        <v>394.09784051542715</v>
      </c>
      <c r="E76" s="89">
        <f>'féléves P&amp;L_mérleg'!E76/E$27*1000</f>
        <v>308.77662811929395</v>
      </c>
      <c r="F76" s="81">
        <f>'féléves P&amp;L_mérleg'!F76/F$27*1000</f>
        <v>2580.1838424835792</v>
      </c>
      <c r="G76" s="251">
        <f>'féléves P&amp;L_mérleg'!G76/G$27*1000</f>
        <v>2633.9063858428917</v>
      </c>
      <c r="H76" s="81">
        <f>'féléves P&amp;L_mérleg'!H76/H$27*1000</f>
        <v>2813.2992327365728</v>
      </c>
      <c r="I76" s="251">
        <f>'féléves P&amp;L_mérleg'!I76/I$27*1000</f>
        <v>4342.7851291745428</v>
      </c>
      <c r="J76" s="81">
        <f>'féléves P&amp;L_mérleg'!J76/J$27*1000</f>
        <v>5992.5093632958806</v>
      </c>
      <c r="K76" s="251">
        <f>'féléves P&amp;L_mérleg'!K76/K$27*1000</f>
        <v>6040.7440212577503</v>
      </c>
    </row>
    <row r="77" spans="2:11" x14ac:dyDescent="0.3">
      <c r="B77" s="63" t="s">
        <v>68</v>
      </c>
      <c r="C77" s="63" t="s">
        <v>69</v>
      </c>
      <c r="D77" s="81">
        <f>'féléves P&amp;L_mérleg'!D77/D$27*1000</f>
        <v>758.02441156473594</v>
      </c>
      <c r="E77" s="89">
        <f>'féléves P&amp;L_mérleg'!E77/E$27*1000</f>
        <v>1076.7650639074861</v>
      </c>
      <c r="F77" s="81">
        <f>'féléves P&amp;L_mérleg'!F77/F$27*1000</f>
        <v>1829.1983486181684</v>
      </c>
      <c r="G77" s="251">
        <f>'féléves P&amp;L_mérleg'!G77/G$27*1000</f>
        <v>1838.4805227585048</v>
      </c>
      <c r="H77" s="81">
        <f>'féléves P&amp;L_mérleg'!H77/H$27*1000</f>
        <v>3105.996021597045</v>
      </c>
      <c r="I77" s="251">
        <f>'féléves P&amp;L_mérleg'!I77/I$27*1000</f>
        <v>4655.3245116572143</v>
      </c>
      <c r="J77" s="81">
        <f>'féléves P&amp;L_mérleg'!J77/J$27*1000</f>
        <v>5992.5093632958806</v>
      </c>
      <c r="K77" s="251">
        <f>'féléves P&amp;L_mérleg'!K77/K$27*1000</f>
        <v>2102.9988611919525</v>
      </c>
    </row>
    <row r="78" spans="2:11" x14ac:dyDescent="0.3">
      <c r="B78" s="63" t="s">
        <v>70</v>
      </c>
      <c r="C78" s="63" t="s">
        <v>71</v>
      </c>
      <c r="D78" s="81">
        <f>'féléves P&amp;L_mérleg'!D78/D$27*1000</f>
        <v>936.49755560591825</v>
      </c>
      <c r="E78" s="89">
        <f>'féléves P&amp;L_mérleg'!E78/E$27*1000</f>
        <v>1459.0413877054166</v>
      </c>
      <c r="F78" s="81">
        <f>'féléves P&amp;L_mérleg'!F78/F$27*1000</f>
        <v>1648.727701697856</v>
      </c>
      <c r="G78" s="251">
        <f>'féléves P&amp;L_mérleg'!G78/G$27*1000</f>
        <v>1727.0774322012508</v>
      </c>
      <c r="H78" s="81">
        <f>'féléves P&amp;L_mérleg'!H78/H$27*1000</f>
        <v>2489.3435635123615</v>
      </c>
      <c r="I78" s="251">
        <f>'féléves P&amp;L_mérleg'!I78/I$27*1000</f>
        <v>2260.869565217391</v>
      </c>
      <c r="J78" s="81">
        <f>'féléves P&amp;L_mérleg'!J78/J$27*1000</f>
        <v>4022.8491364212005</v>
      </c>
      <c r="K78" s="251">
        <f>'féléves P&amp;L_mérleg'!K78/K$27*1000</f>
        <v>3178.5397950145516</v>
      </c>
    </row>
    <row r="79" spans="2:11" x14ac:dyDescent="0.3">
      <c r="B79" s="63" t="s">
        <v>72</v>
      </c>
      <c r="C79" s="63" t="s">
        <v>73</v>
      </c>
      <c r="D79" s="81">
        <f>'féléves P&amp;L_mérleg'!D79/D$27*1000</f>
        <v>804.24126655227121</v>
      </c>
      <c r="E79" s="89">
        <f>'féléves P&amp;L_mérleg'!E79/E$27*1000</f>
        <v>488.53925745587333</v>
      </c>
      <c r="F79" s="81">
        <f>'féléves P&amp;L_mérleg'!F79/F$27*1000</f>
        <v>355.03260936919077</v>
      </c>
      <c r="G79" s="251">
        <f>'féléves P&amp;L_mérleg'!G79/G$27*1000</f>
        <v>1368.0595675463444</v>
      </c>
      <c r="H79" s="81">
        <f>'féléves P&amp;L_mérleg'!H79/H$27*1000</f>
        <v>1122.4779766979257</v>
      </c>
      <c r="I79" s="251">
        <f>'féléves P&amp;L_mérleg'!I79/I$27*1000</f>
        <v>1429.1115311909264</v>
      </c>
      <c r="J79" s="81">
        <f>'féléves P&amp;L_mérleg'!J79/J$27*1000</f>
        <v>2594.7781100961929</v>
      </c>
      <c r="K79" s="251">
        <f>'féléves P&amp;L_mérleg'!K79/K$27*1000</f>
        <v>2019.4862710363152</v>
      </c>
    </row>
    <row r="80" spans="2:11" x14ac:dyDescent="0.3">
      <c r="B80" s="63" t="s">
        <v>74</v>
      </c>
      <c r="C80" s="63" t="s">
        <v>75</v>
      </c>
      <c r="D80" s="81">
        <f>'féléves P&amp;L_mérleg'!D80/D$27*1000</f>
        <v>0</v>
      </c>
      <c r="E80" s="89">
        <f>'féléves P&amp;L_mérleg'!E80/E$27*1000</f>
        <v>837.95191722458901</v>
      </c>
      <c r="F80" s="81">
        <f>'féléves P&amp;L_mérleg'!F80/F$27*1000</f>
        <v>1024.7571198413682</v>
      </c>
      <c r="G80" s="251">
        <f>'féléves P&amp;L_mérleg'!G80/G$27*1000</f>
        <v>983.05522057380051</v>
      </c>
      <c r="H80" s="81">
        <f>'féléves P&amp;L_mérleg'!H80/H$27*1000</f>
        <v>1807.3316283034956</v>
      </c>
      <c r="I80" s="251">
        <f>'féléves P&amp;L_mérleg'!I80/I$27*1000</f>
        <v>2545.6836798991808</v>
      </c>
      <c r="J80" s="81">
        <f>'féléves P&amp;L_mérleg'!J80/J$27*1000</f>
        <v>3244.1462560288851</v>
      </c>
      <c r="K80" s="251">
        <f>'féléves P&amp;L_mérleg'!K80/K$27*1000</f>
        <v>2378.8434771605721</v>
      </c>
    </row>
    <row r="81" spans="2:11" ht="15" thickBot="1" x14ac:dyDescent="0.35">
      <c r="B81" s="63"/>
      <c r="C81" s="63"/>
      <c r="D81" s="82"/>
      <c r="E81" s="90"/>
      <c r="F81" s="82"/>
      <c r="G81" s="252"/>
      <c r="H81" s="82"/>
      <c r="I81" s="252"/>
      <c r="J81" s="82"/>
      <c r="K81" s="252"/>
    </row>
    <row r="82" spans="2:11" ht="15" thickBot="1" x14ac:dyDescent="0.35">
      <c r="B82" s="64" t="s">
        <v>76</v>
      </c>
      <c r="C82" s="64" t="s">
        <v>77</v>
      </c>
      <c r="D82" s="80">
        <f t="shared" ref="D82:K82" si="4">SUM(D83:D90)</f>
        <v>12692.142325250106</v>
      </c>
      <c r="E82" s="88">
        <f t="shared" si="4"/>
        <v>13063.69750456482</v>
      </c>
      <c r="F82" s="80">
        <f t="shared" si="4"/>
        <v>21766.11268744578</v>
      </c>
      <c r="G82" s="250">
        <f t="shared" si="4"/>
        <v>23099.921474044368</v>
      </c>
      <c r="H82" s="80">
        <f t="shared" si="4"/>
        <v>29909.065075305483</v>
      </c>
      <c r="I82" s="250">
        <f t="shared" si="4"/>
        <v>30018.903591682421</v>
      </c>
      <c r="J82" s="80">
        <f t="shared" si="4"/>
        <v>52051.841672729228</v>
      </c>
      <c r="K82" s="250">
        <f t="shared" si="4"/>
        <v>53734.025053777048</v>
      </c>
    </row>
    <row r="83" spans="2:11" x14ac:dyDescent="0.3">
      <c r="B83" s="63" t="s">
        <v>138</v>
      </c>
      <c r="C83" s="63" t="s">
        <v>187</v>
      </c>
      <c r="D83" s="81">
        <f>'féléves P&amp;L_mérleg'!D83/D$27*1000</f>
        <v>1104.2088904717195</v>
      </c>
      <c r="E83" s="89">
        <f>'féléves P&amp;L_mérleg'!E83/E$27*1000</f>
        <v>2297.2002434570904</v>
      </c>
      <c r="F83" s="81">
        <f>'féléves P&amp;L_mérleg'!F83/F$27*1000</f>
        <v>5199.9266420869999</v>
      </c>
      <c r="G83" s="251">
        <f>'féléves P&amp;L_mérleg'!G83/G$27*1000</f>
        <v>1013.9804246010602</v>
      </c>
      <c r="H83" s="81">
        <f>'féléves P&amp;L_mérleg'!H83/H$27*1000</f>
        <v>6422.2790565501573</v>
      </c>
      <c r="I83" s="251">
        <f>'féléves P&amp;L_mérleg'!I83/I$27*1000</f>
        <v>0</v>
      </c>
      <c r="J83" s="81">
        <f>'féléves P&amp;L_mérleg'!J83/J$27*1000</f>
        <v>3812.6801929243125</v>
      </c>
      <c r="K83" s="251">
        <f>'féléves P&amp;L_mérleg'!K83/K$27*1000</f>
        <v>4357.8387953941537</v>
      </c>
    </row>
    <row r="84" spans="2:11" x14ac:dyDescent="0.3">
      <c r="B84" s="63" t="s">
        <v>79</v>
      </c>
      <c r="C84" s="63" t="s">
        <v>139</v>
      </c>
      <c r="D84" s="81">
        <f>'féléves P&amp;L_mérleg'!D84/D$27*1000</f>
        <v>3489.549001197915</v>
      </c>
      <c r="E84" s="89">
        <f>'féléves P&amp;L_mérleg'!E84/E$27*1000</f>
        <v>225.89166159464392</v>
      </c>
      <c r="F84" s="81">
        <f>'féléves P&amp;L_mérleg'!F84/F$27*1000</f>
        <v>299.09220473416781</v>
      </c>
      <c r="G84" s="251">
        <f>'féléves P&amp;L_mérleg'!G84/G$27*1000</f>
        <v>6705.9202961550327</v>
      </c>
      <c r="H84" s="81">
        <f>'féléves P&amp;L_mérleg'!H84/H$27*1000</f>
        <v>2847.3998294970161</v>
      </c>
      <c r="I84" s="251">
        <f>'féléves P&amp;L_mérleg'!I84/I$27*1000</f>
        <v>1124.1335853812225</v>
      </c>
      <c r="J84" s="81">
        <f>'féléves P&amp;L_mérleg'!J84/J$27*1000</f>
        <v>0</v>
      </c>
      <c r="K84" s="251">
        <f>'féléves P&amp;L_mérleg'!K84/K$27*1000</f>
        <v>0</v>
      </c>
    </row>
    <row r="85" spans="2:11" x14ac:dyDescent="0.3">
      <c r="B85" s="63" t="s">
        <v>210</v>
      </c>
      <c r="C85" s="63" t="s">
        <v>266</v>
      </c>
      <c r="D85" s="81">
        <f>'féléves P&amp;L_mérleg'!D85/D$27*1000</f>
        <v>0</v>
      </c>
      <c r="E85" s="89">
        <f>'féléves P&amp;L_mérleg'!E85/E$27*1000</f>
        <v>0</v>
      </c>
      <c r="F85" s="81">
        <f>'féléves P&amp;L_mérleg'!F85/F$27*1000</f>
        <v>0</v>
      </c>
      <c r="G85" s="251">
        <f>'féléves P&amp;L_mérleg'!G85/G$27*1000</f>
        <v>304.44232549008609</v>
      </c>
      <c r="H85" s="81">
        <f>'féléves P&amp;L_mérleg'!H85/H$27*1000</f>
        <v>440.46604148905942</v>
      </c>
      <c r="I85" s="251">
        <f>'féléves P&amp;L_mérleg'!I85/I$27*1000</f>
        <v>599.87397605545061</v>
      </c>
      <c r="J85" s="81">
        <f>'féléves P&amp;L_mérleg'!J85/J$27*1000</f>
        <v>1134.3734001562796</v>
      </c>
      <c r="K85" s="251">
        <f>'féléves P&amp;L_mérleg'!K85/K$27*1000</f>
        <v>1214.7285840819943</v>
      </c>
    </row>
    <row r="86" spans="2:11" x14ac:dyDescent="0.3">
      <c r="B86" s="63" t="s">
        <v>88</v>
      </c>
      <c r="C86" s="63" t="s">
        <v>89</v>
      </c>
      <c r="D86" s="81">
        <f>'féléves P&amp;L_mérleg'!D86/D$27*1000</f>
        <v>193.70285233269661</v>
      </c>
      <c r="E86" s="89">
        <f>'féléves P&amp;L_mérleg'!E86/E$27*1000</f>
        <v>1232.604990870359</v>
      </c>
      <c r="F86" s="81">
        <f>'féléves P&amp;L_mérleg'!F86/F$27*1000</f>
        <v>486.29061841616067</v>
      </c>
      <c r="G86" s="251">
        <f>'féléves P&amp;L_mérleg'!G86/G$27*1000</f>
        <v>1352.98258406484</v>
      </c>
      <c r="H86" s="81">
        <f>'féléves P&amp;L_mérleg'!H86/H$27*1000</f>
        <v>99.460073884626325</v>
      </c>
      <c r="I86" s="251">
        <f>'féléves P&amp;L_mérleg'!I86/I$27*1000</f>
        <v>0</v>
      </c>
      <c r="J86" s="81">
        <f>'féléves P&amp;L_mérleg'!J86/J$27*1000</f>
        <v>1826.8531242421793</v>
      </c>
      <c r="K86" s="251">
        <f>'féléves P&amp;L_mérleg'!K86/K$27*1000</f>
        <v>93.6353283563204</v>
      </c>
    </row>
    <row r="87" spans="2:11" x14ac:dyDescent="0.3">
      <c r="B87" s="63" t="s">
        <v>80</v>
      </c>
      <c r="C87" s="63" t="s">
        <v>81</v>
      </c>
      <c r="D87" s="81">
        <f>'féléves P&amp;L_mérleg'!D87/D$27*1000</f>
        <v>3039.5376695697219</v>
      </c>
      <c r="E87" s="89">
        <f>'féléves P&amp;L_mérleg'!E87/E$27*1000</f>
        <v>1921.9080949482652</v>
      </c>
      <c r="F87" s="81">
        <f>'féléves P&amp;L_mérleg'!F87/F$27*1000</f>
        <v>1102.4630716321726</v>
      </c>
      <c r="G87" s="251">
        <f>'féléves P&amp;L_mérleg'!G87/G$27*1000</f>
        <v>1755.142047844743</v>
      </c>
      <c r="H87" s="81">
        <f>'féléves P&amp;L_mérleg'!H87/H$27*1000</f>
        <v>4958.795112247798</v>
      </c>
      <c r="I87" s="251">
        <f>'féléves P&amp;L_mérleg'!I87/I$27*1000</f>
        <v>6969.1241335853811</v>
      </c>
      <c r="J87" s="81">
        <f>'féléves P&amp;L_mérleg'!J87/J$27*1000</f>
        <v>4109.0722927276156</v>
      </c>
      <c r="K87" s="251">
        <f>'féléves P&amp;L_mérleg'!K87/K$27*1000</f>
        <v>7723.6492471213469</v>
      </c>
    </row>
    <row r="88" spans="2:11" x14ac:dyDescent="0.3">
      <c r="B88" s="63" t="s">
        <v>82</v>
      </c>
      <c r="C88" s="63" t="s">
        <v>83</v>
      </c>
      <c r="D88" s="81">
        <f>'féléves P&amp;L_mérleg'!D88/D$27*1000</f>
        <v>451.03117816557125</v>
      </c>
      <c r="E88" s="89">
        <f>'féléves P&amp;L_mérleg'!E88/E$27*1000</f>
        <v>2539.726110772976</v>
      </c>
      <c r="F88" s="81">
        <f>'féléves P&amp;L_mérleg'!F88/F$27*1000</f>
        <v>1748.9334830834055</v>
      </c>
      <c r="G88" s="251">
        <f>'féléves P&amp;L_mérleg'!G88/G$27*1000</f>
        <v>2726.4856830355893</v>
      </c>
      <c r="H88" s="81">
        <f>'féléves P&amp;L_mérleg'!H88/H$27*1000</f>
        <v>1145.2117078715544</v>
      </c>
      <c r="I88" s="251">
        <f>'féléves P&amp;L_mérleg'!I88/I$27*1000</f>
        <v>0</v>
      </c>
      <c r="J88" s="81">
        <f>'féléves P&amp;L_mérleg'!J88/J$27*1000</f>
        <v>4815.0243849863928</v>
      </c>
      <c r="K88" s="251">
        <f>'féléves P&amp;L_mérleg'!K88/K$27*1000</f>
        <v>2475.0094900670633</v>
      </c>
    </row>
    <row r="89" spans="2:11" ht="18" customHeight="1" x14ac:dyDescent="0.3">
      <c r="B89" s="63" t="s">
        <v>84</v>
      </c>
      <c r="C89" s="63" t="s">
        <v>85</v>
      </c>
      <c r="D89" s="81">
        <f>'féléves P&amp;L_mérleg'!D89/D$27*1000</f>
        <v>4292.7930844691937</v>
      </c>
      <c r="E89" s="89">
        <f>'féléves P&amp;L_mérleg'!E89/E$27*1000</f>
        <v>4686.2081558125374</v>
      </c>
      <c r="F89" s="81">
        <f>'féléves P&amp;L_mérleg'!F89/F$27*1000</f>
        <v>1480.9156617920439</v>
      </c>
      <c r="G89" s="251">
        <f>'féléves P&amp;L_mérleg'!G89/G$27*1000</f>
        <v>9017.2420562582392</v>
      </c>
      <c r="H89" s="81">
        <f>'féléves P&amp;L_mérleg'!H89/H$27*1000</f>
        <v>13083.262290423416</v>
      </c>
      <c r="I89" s="251">
        <f>'féléves P&amp;L_mérleg'!I89/I$27*1000</f>
        <v>18669.187145557658</v>
      </c>
      <c r="J89" s="81">
        <f>'féléves P&amp;L_mérleg'!J89/J$27*1000</f>
        <v>32258.238353137713</v>
      </c>
      <c r="K89" s="251">
        <f>'féléves P&amp;L_mérleg'!K89/K$27*1000</f>
        <v>36335.568771352657</v>
      </c>
    </row>
    <row r="90" spans="2:11" x14ac:dyDescent="0.3">
      <c r="B90" s="63" t="s">
        <v>86</v>
      </c>
      <c r="C90" s="63" t="s">
        <v>87</v>
      </c>
      <c r="D90" s="81">
        <f>'féléves P&amp;L_mérleg'!D90/D$27*1000</f>
        <v>121.31964904328682</v>
      </c>
      <c r="E90" s="89">
        <f>'féléves P&amp;L_mérleg'!E90/E$27*1000</f>
        <v>160.15824710894705</v>
      </c>
      <c r="F90" s="81">
        <f>'féléves P&amp;L_mérleg'!F90/F$27*1000</f>
        <v>11448.491005700831</v>
      </c>
      <c r="G90" s="251">
        <f>'féléves P&amp;L_mérleg'!G90/G$27*1000</f>
        <v>223.72605659477804</v>
      </c>
      <c r="H90" s="81">
        <f>'féléves P&amp;L_mérleg'!H90/H$27*1000</f>
        <v>912.19096334185861</v>
      </c>
      <c r="I90" s="251">
        <f>'féléves P&amp;L_mérleg'!I90/I$27*1000</f>
        <v>2656.5847511027096</v>
      </c>
      <c r="J90" s="81">
        <f>'féléves P&amp;L_mérleg'!J90/J$27*1000</f>
        <v>4095.5999245547387</v>
      </c>
      <c r="K90" s="251">
        <f>'féléves P&amp;L_mérleg'!K90/K$27*1000</f>
        <v>1533.5948374035177</v>
      </c>
    </row>
    <row r="91" spans="2:11" ht="15" thickBot="1" x14ac:dyDescent="0.35">
      <c r="B91" s="63"/>
      <c r="C91" s="63"/>
      <c r="D91" s="82"/>
      <c r="E91" s="90"/>
      <c r="F91" s="82"/>
      <c r="G91" s="252"/>
      <c r="H91" s="82"/>
      <c r="I91" s="252"/>
      <c r="J91" s="82"/>
      <c r="K91" s="252"/>
    </row>
    <row r="92" spans="2:11" ht="30" thickTop="1" thickBot="1" x14ac:dyDescent="0.35">
      <c r="B92" s="65" t="s">
        <v>90</v>
      </c>
      <c r="C92" s="65" t="s">
        <v>91</v>
      </c>
      <c r="D92" s="85">
        <f t="shared" ref="D92:K92" si="5">+D82+D73+D61</f>
        <v>47980.846310745619</v>
      </c>
      <c r="E92" s="93">
        <f t="shared" si="5"/>
        <v>48469.327449786972</v>
      </c>
      <c r="F92" s="85">
        <f t="shared" si="5"/>
        <v>102898.32552360889</v>
      </c>
      <c r="G92" s="255">
        <f t="shared" si="5"/>
        <v>106115.29853885632</v>
      </c>
      <c r="H92" s="85">
        <f t="shared" si="5"/>
        <v>139514.06649616369</v>
      </c>
      <c r="I92" s="255">
        <f t="shared" si="5"/>
        <v>166946.43982356647</v>
      </c>
      <c r="J92" s="85">
        <f t="shared" si="5"/>
        <v>223975.42640045262</v>
      </c>
      <c r="K92" s="255">
        <f t="shared" si="5"/>
        <v>209244.59066177398</v>
      </c>
    </row>
    <row r="93" spans="2:11" ht="15" thickTop="1" x14ac:dyDescent="0.3"/>
  </sheetData>
  <mergeCells count="3">
    <mergeCell ref="D1:E1"/>
    <mergeCell ref="D26:E26"/>
    <mergeCell ref="D57:E57"/>
  </mergeCells>
  <hyperlinks>
    <hyperlink ref="C27" r:id="rId1" xr:uid="{066FE5CD-5AF6-4187-893F-D117472C7367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D4B6-3BE3-42DC-9BC7-CD40A290BB7B}">
  <sheetPr codeName="Munka3"/>
  <dimension ref="A1:AI54"/>
  <sheetViews>
    <sheetView zoomScale="80" zoomScaleNormal="80" workbookViewId="0">
      <pane xSplit="3" ySplit="4" topLeftCell="Z5" activePane="bottomRight" state="frozen"/>
      <selection pane="topRight" activeCell="D1" sqref="D1"/>
      <selection pane="bottomLeft" activeCell="A5" sqref="A5"/>
      <selection pane="bottomRight" activeCell="AI47" activeCellId="2" sqref="AI43 AI41 AI47"/>
    </sheetView>
  </sheetViews>
  <sheetFormatPr defaultColWidth="8.77734375" defaultRowHeight="14.4" outlineLevelRow="2" outlineLevelCol="2" x14ac:dyDescent="0.3"/>
  <cols>
    <col min="1" max="1" width="18.6640625" bestFit="1" customWidth="1"/>
    <col min="2" max="2" width="36.44140625" style="56" customWidth="1"/>
    <col min="3" max="3" width="35.33203125" style="56" customWidth="1"/>
    <col min="4" max="11" width="11.77734375" hidden="1" customWidth="1" outlineLevel="2"/>
    <col min="12" max="12" width="11.77734375" hidden="1" customWidth="1" outlineLevel="2" collapsed="1"/>
    <col min="13" max="13" width="11.77734375" hidden="1" customWidth="1" outlineLevel="2"/>
    <col min="14" max="14" width="12" hidden="1" customWidth="1" outlineLevel="2"/>
    <col min="15" max="15" width="13.6640625" hidden="1" customWidth="1" outlineLevel="2"/>
    <col min="16" max="19" width="14" hidden="1" customWidth="1" outlineLevel="2"/>
    <col min="20" max="20" width="14" hidden="1" customWidth="1" outlineLevel="2" collapsed="1"/>
    <col min="21" max="23" width="14" hidden="1" customWidth="1" outlineLevel="2"/>
    <col min="24" max="24" width="14" customWidth="1" outlineLevel="1" collapsed="1"/>
    <col min="25" max="35" width="14" customWidth="1" outlineLevel="1"/>
  </cols>
  <sheetData>
    <row r="1" spans="1:35" x14ac:dyDescent="0.3">
      <c r="A1" s="196"/>
    </row>
    <row r="2" spans="1:35" x14ac:dyDescent="0.3">
      <c r="B2" s="197"/>
      <c r="C2" s="56" t="s">
        <v>188</v>
      </c>
    </row>
    <row r="3" spans="1:35" outlineLevel="1" x14ac:dyDescent="0.3">
      <c r="A3" s="1" t="s">
        <v>185</v>
      </c>
      <c r="B3" s="112"/>
      <c r="C3" s="112" t="s">
        <v>184</v>
      </c>
      <c r="D3" s="67" t="s">
        <v>167</v>
      </c>
      <c r="E3" s="67" t="s">
        <v>169</v>
      </c>
      <c r="F3" s="67" t="s">
        <v>170</v>
      </c>
      <c r="G3" s="67" t="s">
        <v>171</v>
      </c>
      <c r="H3" s="67" t="s">
        <v>172</v>
      </c>
      <c r="I3" s="67" t="s">
        <v>168</v>
      </c>
      <c r="J3" s="67" t="s">
        <v>173</v>
      </c>
      <c r="K3" s="67" t="s">
        <v>176</v>
      </c>
      <c r="L3" s="67" t="s">
        <v>177</v>
      </c>
      <c r="M3" s="67" t="s">
        <v>175</v>
      </c>
      <c r="N3" s="67" t="s">
        <v>174</v>
      </c>
      <c r="O3" s="67" t="s">
        <v>191</v>
      </c>
      <c r="P3" s="67" t="s">
        <v>190</v>
      </c>
      <c r="Q3" s="67" t="s">
        <v>192</v>
      </c>
      <c r="R3" s="67" t="s">
        <v>263</v>
      </c>
      <c r="S3" s="67" t="s">
        <v>279</v>
      </c>
      <c r="T3" s="67" t="s">
        <v>284</v>
      </c>
      <c r="U3" s="67" t="s">
        <v>298</v>
      </c>
      <c r="V3" s="67" t="s">
        <v>314</v>
      </c>
      <c r="W3" s="67" t="s">
        <v>313</v>
      </c>
      <c r="X3" s="67" t="s">
        <v>304</v>
      </c>
      <c r="Y3" s="67" t="s">
        <v>308</v>
      </c>
      <c r="Z3" s="67" t="s">
        <v>309</v>
      </c>
      <c r="AA3" s="67" t="s">
        <v>319</v>
      </c>
      <c r="AB3" s="67" t="s">
        <v>321</v>
      </c>
      <c r="AC3" s="67" t="s">
        <v>346</v>
      </c>
      <c r="AD3" s="67" t="s">
        <v>325</v>
      </c>
      <c r="AE3" s="67" t="s">
        <v>347</v>
      </c>
      <c r="AF3" s="102" t="s">
        <v>344</v>
      </c>
      <c r="AG3" s="67" t="s">
        <v>351</v>
      </c>
      <c r="AH3" s="67" t="s">
        <v>352</v>
      </c>
      <c r="AI3" s="67" t="s">
        <v>365</v>
      </c>
    </row>
    <row r="4" spans="1:35" outlineLevel="1" x14ac:dyDescent="0.3">
      <c r="B4" s="112" t="s">
        <v>92</v>
      </c>
      <c r="C4" s="113" t="s">
        <v>126</v>
      </c>
      <c r="D4" s="100" t="s">
        <v>130</v>
      </c>
      <c r="E4" s="100" t="s">
        <v>130</v>
      </c>
      <c r="F4" s="100" t="s">
        <v>130</v>
      </c>
      <c r="G4" s="100" t="s">
        <v>130</v>
      </c>
      <c r="H4" s="100" t="s">
        <v>130</v>
      </c>
      <c r="I4" s="100" t="s">
        <v>130</v>
      </c>
      <c r="J4" s="100" t="s">
        <v>130</v>
      </c>
      <c r="K4" s="100" t="s">
        <v>130</v>
      </c>
      <c r="L4" s="100" t="s">
        <v>130</v>
      </c>
      <c r="M4" s="100" t="s">
        <v>130</v>
      </c>
      <c r="N4" s="100" t="s">
        <v>130</v>
      </c>
      <c r="O4" s="100" t="s">
        <v>280</v>
      </c>
      <c r="P4" s="100" t="s">
        <v>130</v>
      </c>
      <c r="Q4" s="100" t="s">
        <v>130</v>
      </c>
      <c r="R4" s="100" t="s">
        <v>130</v>
      </c>
      <c r="S4" s="100" t="s">
        <v>280</v>
      </c>
      <c r="T4" s="67" t="s">
        <v>130</v>
      </c>
      <c r="U4" s="67" t="s">
        <v>130</v>
      </c>
      <c r="V4" s="67" t="s">
        <v>130</v>
      </c>
      <c r="W4" s="67" t="s">
        <v>280</v>
      </c>
      <c r="X4" s="67" t="s">
        <v>130</v>
      </c>
      <c r="Y4" s="67" t="s">
        <v>130</v>
      </c>
      <c r="Z4" s="67" t="s">
        <v>130</v>
      </c>
      <c r="AA4" s="67" t="s">
        <v>280</v>
      </c>
      <c r="AB4" s="67" t="s">
        <v>130</v>
      </c>
      <c r="AC4" s="67" t="s">
        <v>130</v>
      </c>
      <c r="AD4" s="67" t="s">
        <v>130</v>
      </c>
      <c r="AE4" s="67" t="s">
        <v>280</v>
      </c>
      <c r="AF4" s="67" t="s">
        <v>130</v>
      </c>
      <c r="AG4" s="67" t="s">
        <v>130</v>
      </c>
      <c r="AH4" s="67" t="s">
        <v>130</v>
      </c>
      <c r="AI4" s="67" t="s">
        <v>280</v>
      </c>
    </row>
    <row r="5" spans="1:35" ht="14.55" customHeight="1" outlineLevel="1" x14ac:dyDescent="0.3">
      <c r="B5" s="58" t="s">
        <v>94</v>
      </c>
      <c r="C5" s="58" t="s">
        <v>103</v>
      </c>
      <c r="D5" s="118">
        <v>4707.8136949999998</v>
      </c>
      <c r="E5" s="122">
        <v>8634.7703390000006</v>
      </c>
      <c r="F5" s="118">
        <v>12379.406604</v>
      </c>
      <c r="G5" s="122">
        <v>18389.28427</v>
      </c>
      <c r="H5" s="118">
        <v>5191.0879359999999</v>
      </c>
      <c r="I5" s="122">
        <v>9276.6434790000003</v>
      </c>
      <c r="J5" s="118">
        <v>12804</v>
      </c>
      <c r="K5" s="122">
        <v>18685.766845999999</v>
      </c>
      <c r="L5" s="118">
        <v>6494.3898570000001</v>
      </c>
      <c r="M5" s="122">
        <v>12141.442588</v>
      </c>
      <c r="N5" s="73">
        <v>17995</v>
      </c>
      <c r="O5" s="68">
        <v>25573</v>
      </c>
      <c r="P5" s="118">
        <v>9058</v>
      </c>
      <c r="Q5" s="122">
        <v>16163.527</v>
      </c>
      <c r="R5" s="73">
        <v>23469.258999999998</v>
      </c>
      <c r="S5" s="122">
        <v>32981.300999999999</v>
      </c>
      <c r="T5" s="73">
        <v>9483.7520000000004</v>
      </c>
      <c r="U5" s="257">
        <v>19781</v>
      </c>
      <c r="V5" s="73">
        <v>29049.57</v>
      </c>
      <c r="W5" s="257">
        <v>44249.447999999997</v>
      </c>
      <c r="X5" s="73">
        <v>19065.742999999999</v>
      </c>
      <c r="Y5" s="257">
        <v>37988</v>
      </c>
      <c r="Z5" s="73">
        <v>62743.976999999999</v>
      </c>
      <c r="AA5" s="257">
        <f>+'éves P&amp;L_mérleg'!J70</f>
        <v>103027</v>
      </c>
      <c r="AB5" s="73">
        <v>36056</v>
      </c>
      <c r="AC5" s="257">
        <v>58853.546000000002</v>
      </c>
      <c r="AD5" s="73">
        <v>76850.430999999997</v>
      </c>
      <c r="AE5" s="257">
        <v>98954.327000000005</v>
      </c>
      <c r="AF5" s="73">
        <v>26677.764999999999</v>
      </c>
      <c r="AG5" s="68">
        <v>49787.264000000003</v>
      </c>
      <c r="AH5" s="73">
        <v>74786.543000000005</v>
      </c>
      <c r="AI5" s="68">
        <v>105388.83900000001</v>
      </c>
    </row>
    <row r="6" spans="1:35" outlineLevel="1" x14ac:dyDescent="0.3">
      <c r="B6" s="59" t="s">
        <v>129</v>
      </c>
      <c r="C6" s="59" t="s">
        <v>104</v>
      </c>
      <c r="D6" s="130">
        <v>-3866.575609</v>
      </c>
      <c r="E6" s="123">
        <v>-6551.1668120000004</v>
      </c>
      <c r="F6" s="130">
        <v>-9664.6009780000004</v>
      </c>
      <c r="G6" s="123">
        <v>-14606.384983</v>
      </c>
      <c r="H6" s="130">
        <v>-4157.878565</v>
      </c>
      <c r="I6" s="123">
        <v>-7213.7795980000001</v>
      </c>
      <c r="J6" s="130">
        <v>-9801</v>
      </c>
      <c r="K6" s="123">
        <v>-14264.354327999999</v>
      </c>
      <c r="L6" s="130">
        <v>-5192.2275600000003</v>
      </c>
      <c r="M6" s="123">
        <v>-8379.8780210000004</v>
      </c>
      <c r="N6" s="74">
        <v>-12710</v>
      </c>
      <c r="O6" s="69">
        <f>+'éves P&amp;L_mérleg'!G71</f>
        <v>-18211.867753999999</v>
      </c>
      <c r="P6" s="130">
        <v>-6602</v>
      </c>
      <c r="Q6" s="123">
        <v>-10936.562</v>
      </c>
      <c r="R6" s="74">
        <v>-16031.668</v>
      </c>
      <c r="S6" s="123">
        <v>-23072.429</v>
      </c>
      <c r="T6" s="74">
        <v>-5935.07</v>
      </c>
      <c r="U6" s="258">
        <v>-10983</v>
      </c>
      <c r="V6" s="74">
        <v>-15670.550999999999</v>
      </c>
      <c r="W6" s="259">
        <v>-25624.444</v>
      </c>
      <c r="X6" s="74">
        <v>-12475.705</v>
      </c>
      <c r="Y6" s="259">
        <v>-22015</v>
      </c>
      <c r="Z6" s="75">
        <v>-39682.125</v>
      </c>
      <c r="AA6" s="259">
        <f>+'éves P&amp;L_mérleg'!J71</f>
        <v>-70448.828999999998</v>
      </c>
      <c r="AB6" s="74">
        <v>-23960.903999999999</v>
      </c>
      <c r="AC6" s="259">
        <v>-37944.813999999998</v>
      </c>
      <c r="AD6" s="74">
        <v>-49255.275999999998</v>
      </c>
      <c r="AE6" s="259">
        <v>-63869.082000000002</v>
      </c>
      <c r="AF6" s="74">
        <v>-18396.736000000001</v>
      </c>
      <c r="AG6" s="69">
        <v>-32015.133000000002</v>
      </c>
      <c r="AH6" s="74">
        <v>-47838.567999999999</v>
      </c>
      <c r="AI6" s="69">
        <v>-69670.551000000007</v>
      </c>
    </row>
    <row r="7" spans="1:35" outlineLevel="1" x14ac:dyDescent="0.3">
      <c r="B7" s="60" t="s">
        <v>105</v>
      </c>
      <c r="C7" s="60" t="s">
        <v>106</v>
      </c>
      <c r="D7" s="130">
        <v>-570.57811400000003</v>
      </c>
      <c r="E7" s="123">
        <v>-1107.2819280000001</v>
      </c>
      <c r="F7" s="130">
        <v>-1702.3162199999999</v>
      </c>
      <c r="G7" s="123">
        <v>-2153.922556</v>
      </c>
      <c r="H7" s="130">
        <v>-622.849559</v>
      </c>
      <c r="I7" s="123">
        <v>-1245.3993559999999</v>
      </c>
      <c r="J7" s="130">
        <v>-1808.0923909999999</v>
      </c>
      <c r="K7" s="123">
        <v>-2506.5336560000001</v>
      </c>
      <c r="L7" s="130">
        <v>-650.11555499999997</v>
      </c>
      <c r="M7" s="123">
        <v>-1290.5134969999999</v>
      </c>
      <c r="N7" s="75">
        <v>-2122</v>
      </c>
      <c r="O7" s="69">
        <f>+'éves P&amp;L_mérleg'!G72</f>
        <v>-2858.1641120000004</v>
      </c>
      <c r="P7" s="130">
        <v>-767</v>
      </c>
      <c r="Q7" s="123">
        <v>-1557.479</v>
      </c>
      <c r="R7" s="75">
        <v>-2417.9870000000001</v>
      </c>
      <c r="S7" s="123">
        <v>-3770.04</v>
      </c>
      <c r="T7" s="75">
        <v>-890.20799999999997</v>
      </c>
      <c r="U7" s="259">
        <v>-2189</v>
      </c>
      <c r="V7" s="75">
        <v>-2979.3760000000002</v>
      </c>
      <c r="W7" s="259">
        <v>-4192.2370000000001</v>
      </c>
      <c r="X7" s="75">
        <v>-1114.9970000000001</v>
      </c>
      <c r="Y7" s="259">
        <v>-2526</v>
      </c>
      <c r="Z7" s="75">
        <v>-4155.5619999999999</v>
      </c>
      <c r="AA7" s="259">
        <f>+'éves P&amp;L_mérleg'!J72</f>
        <v>-5951.6490000000003</v>
      </c>
      <c r="AB7" s="75">
        <v>-1635.3520000000001</v>
      </c>
      <c r="AC7" s="259">
        <v>-3730.8319999999999</v>
      </c>
      <c r="AD7" s="75">
        <v>-5762.549</v>
      </c>
      <c r="AE7" s="259">
        <v>-7876.31</v>
      </c>
      <c r="AF7" s="75">
        <v>-2219.9299999999998</v>
      </c>
      <c r="AG7" s="70">
        <v>-5095.6610000000001</v>
      </c>
      <c r="AH7" s="75">
        <v>-7614.8069999999998</v>
      </c>
      <c r="AI7" s="70">
        <v>-10821.703</v>
      </c>
    </row>
    <row r="8" spans="1:35" outlineLevel="1" x14ac:dyDescent="0.3">
      <c r="B8" s="60" t="s">
        <v>107</v>
      </c>
      <c r="C8" s="60" t="s">
        <v>108</v>
      </c>
      <c r="D8" s="130">
        <v>-150.23280800000001</v>
      </c>
      <c r="E8" s="123">
        <v>-284.247075</v>
      </c>
      <c r="F8" s="130">
        <v>-419.81182200000001</v>
      </c>
      <c r="G8" s="123">
        <v>-571.66508499999998</v>
      </c>
      <c r="H8" s="130">
        <v>-159.68045100000001</v>
      </c>
      <c r="I8" s="123">
        <v>-336.25823700000001</v>
      </c>
      <c r="J8" s="130">
        <v>-502.08338300000003</v>
      </c>
      <c r="K8" s="123">
        <v>-729.81811600000003</v>
      </c>
      <c r="L8" s="130">
        <v>-252.92470599999999</v>
      </c>
      <c r="M8" s="123">
        <v>-908.34394999999995</v>
      </c>
      <c r="N8" s="75">
        <v>-1545</v>
      </c>
      <c r="O8" s="69">
        <f>+'éves P&amp;L_mérleg'!G73</f>
        <v>-2045.7517579999999</v>
      </c>
      <c r="P8" s="130">
        <v>-626</v>
      </c>
      <c r="Q8" s="123">
        <v>-1303.088</v>
      </c>
      <c r="R8" s="75">
        <v>-1941.201</v>
      </c>
      <c r="S8" s="123">
        <v>-2858.5230000000001</v>
      </c>
      <c r="T8" s="75">
        <v>-857.68</v>
      </c>
      <c r="U8" s="259">
        <v>-2187</v>
      </c>
      <c r="V8" s="75">
        <v>-3010.2669999999998</v>
      </c>
      <c r="W8" s="259">
        <v>-3936.6689999999999</v>
      </c>
      <c r="X8" s="75">
        <v>-955.995</v>
      </c>
      <c r="Y8" s="259">
        <v>-1955</v>
      </c>
      <c r="Z8" s="75">
        <v>-2737.4319999999998</v>
      </c>
      <c r="AA8" s="259">
        <f>+'éves P&amp;L_mérleg'!J73</f>
        <v>-3527.1619999999998</v>
      </c>
      <c r="AB8" s="75">
        <v>-948.45100000000002</v>
      </c>
      <c r="AC8" s="259">
        <v>-2088.0189999999998</v>
      </c>
      <c r="AD8" s="75">
        <v>-3134.0810000000001</v>
      </c>
      <c r="AE8" s="259">
        <v>-4268.473</v>
      </c>
      <c r="AF8" s="75">
        <v>-1091.663</v>
      </c>
      <c r="AG8" s="70">
        <v>-2222.12</v>
      </c>
      <c r="AH8" s="75">
        <v>-3535.982</v>
      </c>
      <c r="AI8" s="70">
        <v>-5542.1890000000003</v>
      </c>
    </row>
    <row r="9" spans="1:35" outlineLevel="1" x14ac:dyDescent="0.3">
      <c r="B9" s="60" t="s">
        <v>95</v>
      </c>
      <c r="C9" s="60" t="s">
        <v>109</v>
      </c>
      <c r="D9" s="130">
        <v>198.49933899999999</v>
      </c>
      <c r="E9" s="123">
        <v>287.04914300000002</v>
      </c>
      <c r="F9" s="130">
        <v>387.114529</v>
      </c>
      <c r="G9" s="123">
        <v>305.97678999999999</v>
      </c>
      <c r="H9" s="130">
        <v>-5.2825069999999998</v>
      </c>
      <c r="I9" s="123">
        <v>118.66872499999999</v>
      </c>
      <c r="J9" s="130">
        <v>-28.553673</v>
      </c>
      <c r="K9" s="123">
        <v>-114.311959</v>
      </c>
      <c r="L9" s="130">
        <v>-198.214327</v>
      </c>
      <c r="M9" s="123">
        <v>-348.20757500000002</v>
      </c>
      <c r="N9" s="75">
        <v>-364</v>
      </c>
      <c r="O9" s="69">
        <f>+'éves P&amp;L_mérleg'!G74</f>
        <v>-804.28131999999994</v>
      </c>
      <c r="P9" s="130">
        <v>-529</v>
      </c>
      <c r="Q9" s="123">
        <v>-532.10900000000004</v>
      </c>
      <c r="R9" s="75">
        <v>-591.39800000000002</v>
      </c>
      <c r="S9" s="123">
        <v>-1228.018</v>
      </c>
      <c r="T9" s="75">
        <v>-415.74299999999999</v>
      </c>
      <c r="U9" s="259">
        <v>-528</v>
      </c>
      <c r="V9" s="75">
        <v>-890.04499999999996</v>
      </c>
      <c r="W9" s="259">
        <v>-1795.605</v>
      </c>
      <c r="X9" s="75">
        <v>-933.78499999999997</v>
      </c>
      <c r="Y9" s="259">
        <v>-1796.4</v>
      </c>
      <c r="Z9" s="75">
        <v>-2813.317</v>
      </c>
      <c r="AA9" s="259">
        <f>+'éves P&amp;L_mérleg'!J74</f>
        <v>-6764.8620000000001</v>
      </c>
      <c r="AB9" s="75">
        <v>-2761.241</v>
      </c>
      <c r="AC9" s="259">
        <v>-4707.607</v>
      </c>
      <c r="AD9" s="75">
        <v>-5974.6589999999997</v>
      </c>
      <c r="AE9" s="259">
        <v>-8315.9290000000001</v>
      </c>
      <c r="AF9" s="75">
        <v>-1731.5260000000001</v>
      </c>
      <c r="AG9" s="70">
        <v>-3275.509</v>
      </c>
      <c r="AH9" s="75">
        <v>-5073.1139999999996</v>
      </c>
      <c r="AI9" s="70">
        <v>-6562.1589999999997</v>
      </c>
    </row>
    <row r="10" spans="1:35" outlineLevel="1" x14ac:dyDescent="0.3">
      <c r="B10" s="60" t="s">
        <v>110</v>
      </c>
      <c r="C10" s="60" t="s">
        <v>111</v>
      </c>
      <c r="D10" s="130">
        <v>0</v>
      </c>
      <c r="E10" s="123">
        <v>0</v>
      </c>
      <c r="F10" s="130">
        <v>0</v>
      </c>
      <c r="G10" s="123">
        <v>-1.35</v>
      </c>
      <c r="H10" s="130">
        <v>0</v>
      </c>
      <c r="I10" s="123">
        <v>-22.455480999999999</v>
      </c>
      <c r="J10" s="130">
        <v>-28.251795000000001</v>
      </c>
      <c r="K10" s="123">
        <v>-32.522967000000001</v>
      </c>
      <c r="L10" s="130">
        <v>0</v>
      </c>
      <c r="M10" s="123">
        <v>-80.143831000000006</v>
      </c>
      <c r="N10" s="75">
        <v>-82</v>
      </c>
      <c r="O10" s="70">
        <v>0</v>
      </c>
      <c r="P10" s="130">
        <v>-1</v>
      </c>
      <c r="Q10" s="123">
        <v>-0.38100000000000001</v>
      </c>
      <c r="R10" s="75">
        <v>-0.38100000000000001</v>
      </c>
      <c r="S10" s="123">
        <v>0</v>
      </c>
      <c r="T10" s="75">
        <v>0</v>
      </c>
      <c r="U10" s="259"/>
      <c r="V10" s="75">
        <v>0</v>
      </c>
      <c r="W10" s="259">
        <v>0</v>
      </c>
      <c r="X10" s="75">
        <v>0</v>
      </c>
      <c r="Y10" s="259"/>
      <c r="Z10" s="75">
        <v>0</v>
      </c>
      <c r="AA10" s="259">
        <f>+'éves P&amp;L_mérleg'!J75</f>
        <v>0</v>
      </c>
      <c r="AB10" s="75">
        <v>0</v>
      </c>
      <c r="AC10" s="259"/>
      <c r="AD10" s="75">
        <v>0</v>
      </c>
      <c r="AE10" s="259">
        <v>0</v>
      </c>
      <c r="AF10" s="75">
        <v>0</v>
      </c>
      <c r="AG10" s="70"/>
      <c r="AH10" s="75">
        <v>551.00800000000004</v>
      </c>
      <c r="AI10" s="70">
        <v>0</v>
      </c>
    </row>
    <row r="11" spans="1:35" outlineLevel="1" x14ac:dyDescent="0.3">
      <c r="B11" s="60" t="s">
        <v>278</v>
      </c>
      <c r="C11" s="60" t="s">
        <v>269</v>
      </c>
      <c r="D11" s="130"/>
      <c r="E11" s="123"/>
      <c r="F11" s="130"/>
      <c r="G11" s="123"/>
      <c r="H11" s="130"/>
      <c r="I11" s="123"/>
      <c r="J11" s="130"/>
      <c r="K11" s="123"/>
      <c r="L11" s="130"/>
      <c r="M11" s="123"/>
      <c r="N11" s="75"/>
      <c r="O11" s="70"/>
      <c r="P11" s="130"/>
      <c r="Q11" s="123"/>
      <c r="R11" s="75"/>
      <c r="S11" s="123">
        <v>512.226</v>
      </c>
      <c r="T11" s="75">
        <v>59.555999999999997</v>
      </c>
      <c r="U11" s="259">
        <v>133</v>
      </c>
      <c r="V11" s="75">
        <v>188.34700000000001</v>
      </c>
      <c r="W11" s="259">
        <v>242.82599999999999</v>
      </c>
      <c r="X11" s="75">
        <v>75</v>
      </c>
      <c r="Y11" s="259">
        <v>156.5</v>
      </c>
      <c r="Z11" s="75">
        <v>243.572</v>
      </c>
      <c r="AA11" s="259">
        <f>+'éves P&amp;L_mérleg'!J76</f>
        <v>358.91500000000002</v>
      </c>
      <c r="AB11" s="75">
        <v>141</v>
      </c>
      <c r="AC11" s="259">
        <v>296.03500000000003</v>
      </c>
      <c r="AD11" s="75">
        <v>471.47</v>
      </c>
      <c r="AE11" s="259">
        <v>538.56600000000003</v>
      </c>
      <c r="AF11" s="75">
        <v>157.47300000000001</v>
      </c>
      <c r="AG11" s="70">
        <v>362.4</v>
      </c>
      <c r="AH11" s="75">
        <v>0</v>
      </c>
      <c r="AI11" s="70">
        <v>713.75800000000004</v>
      </c>
    </row>
    <row r="12" spans="1:35" outlineLevel="1" x14ac:dyDescent="0.3">
      <c r="B12" s="53" t="s">
        <v>112</v>
      </c>
      <c r="C12" s="53" t="s">
        <v>113</v>
      </c>
      <c r="D12" s="118">
        <v>318.9265029999998</v>
      </c>
      <c r="E12" s="122">
        <v>979.12366700000007</v>
      </c>
      <c r="F12" s="118">
        <v>979.79211299999952</v>
      </c>
      <c r="G12" s="122">
        <v>1361.9384360000001</v>
      </c>
      <c r="H12" s="118">
        <v>245.39685399999991</v>
      </c>
      <c r="I12" s="122">
        <v>577.41953200000034</v>
      </c>
      <c r="J12" s="149">
        <v>636.01875800000005</v>
      </c>
      <c r="K12" s="150">
        <v>1038.225819999999</v>
      </c>
      <c r="L12" s="149">
        <v>200.90770899999987</v>
      </c>
      <c r="M12" s="150">
        <v>1134.3557139999996</v>
      </c>
      <c r="N12" s="150">
        <v>1172</v>
      </c>
      <c r="O12" s="19">
        <f>+'éves P&amp;L_mérleg'!G77</f>
        <v>1653.2853070000006</v>
      </c>
      <c r="P12" s="149">
        <f>SUM(P5:P10)</f>
        <v>533</v>
      </c>
      <c r="Q12" s="150">
        <f>SUM(Q5:Q10)</f>
        <v>1833.9080000000001</v>
      </c>
      <c r="R12" s="149">
        <f>SUM(R5:R10)</f>
        <v>2486.6239999999984</v>
      </c>
      <c r="S12" s="150">
        <v>2564.5169999999994</v>
      </c>
      <c r="T12" s="149">
        <v>1444.6070000000013</v>
      </c>
      <c r="U12" s="260">
        <f>SUM(U5:U11)</f>
        <v>4027</v>
      </c>
      <c r="V12" s="149">
        <v>6687.6780000000017</v>
      </c>
      <c r="W12" s="260">
        <v>8943.3189999999977</v>
      </c>
      <c r="X12" s="149">
        <v>3660.4579999999987</v>
      </c>
      <c r="Y12" s="260">
        <v>9852.1</v>
      </c>
      <c r="Z12" s="149">
        <v>13599.113000000001</v>
      </c>
      <c r="AA12" s="260">
        <f>+'éves P&amp;L_mérleg'!J77</f>
        <v>16693.413</v>
      </c>
      <c r="AB12" s="149">
        <v>6891.8530000000083</v>
      </c>
      <c r="AC12" s="260">
        <v>10678.309000000005</v>
      </c>
      <c r="AD12" s="149">
        <v>13195.336000000001</v>
      </c>
      <c r="AE12" s="260">
        <v>15163.099</v>
      </c>
      <c r="AF12" s="149">
        <v>3395.382999999998</v>
      </c>
      <c r="AG12" s="19">
        <f>SUM(AG5:AG11)</f>
        <v>7541.2410000000018</v>
      </c>
      <c r="AH12" s="149">
        <v>11275.080000000005</v>
      </c>
      <c r="AI12" s="19">
        <v>13505.995000000001</v>
      </c>
    </row>
    <row r="13" spans="1:35" outlineLevel="1" x14ac:dyDescent="0.3">
      <c r="B13" s="60" t="s">
        <v>114</v>
      </c>
      <c r="C13" s="60" t="s">
        <v>115</v>
      </c>
      <c r="D13" s="119">
        <v>-93.023401000000007</v>
      </c>
      <c r="E13" s="126">
        <v>-176.415548</v>
      </c>
      <c r="F13" s="119">
        <v>-245.766569</v>
      </c>
      <c r="G13" s="126">
        <v>-329.10903100000002</v>
      </c>
      <c r="H13" s="119">
        <v>-61.70966</v>
      </c>
      <c r="I13" s="126">
        <v>-25.957788999999998</v>
      </c>
      <c r="J13" s="119">
        <v>-117.27139</v>
      </c>
      <c r="K13" s="126">
        <v>-232.33348899999999</v>
      </c>
      <c r="L13" s="119">
        <v>-147.007822</v>
      </c>
      <c r="M13" s="126">
        <v>-361.33734099999998</v>
      </c>
      <c r="N13" s="75">
        <v>-511</v>
      </c>
      <c r="O13" s="70">
        <f>+'éves P&amp;L_mérleg'!G78</f>
        <v>-943.82029</v>
      </c>
      <c r="P13" s="119">
        <v>9</v>
      </c>
      <c r="Q13" s="126">
        <v>-312</v>
      </c>
      <c r="R13" s="75">
        <v>-563.74800000000005</v>
      </c>
      <c r="S13" s="126">
        <v>-1090.316</v>
      </c>
      <c r="T13" s="75">
        <v>-253.15799999999999</v>
      </c>
      <c r="U13" s="259">
        <v>-565</v>
      </c>
      <c r="V13" s="75">
        <v>-751.06100000000004</v>
      </c>
      <c r="W13" s="259">
        <v>-1871.0509999999999</v>
      </c>
      <c r="X13" s="75">
        <v>-329.77499999999998</v>
      </c>
      <c r="Y13" s="259">
        <v>-356</v>
      </c>
      <c r="Z13" s="75">
        <v>-242.429</v>
      </c>
      <c r="AA13" s="259">
        <f>+'éves P&amp;L_mérleg'!J78</f>
        <v>-936.73099999999999</v>
      </c>
      <c r="AB13" s="75">
        <v>34.491</v>
      </c>
      <c r="AC13" s="259">
        <v>384.31700000000001</v>
      </c>
      <c r="AD13" s="75">
        <v>763.298</v>
      </c>
      <c r="AE13" s="259">
        <v>719.53</v>
      </c>
      <c r="AF13" s="75">
        <v>15.866</v>
      </c>
      <c r="AG13" s="70">
        <v>-147</v>
      </c>
      <c r="AH13" s="75">
        <v>-372.89299999999997</v>
      </c>
      <c r="AI13" s="70">
        <v>-534.428</v>
      </c>
    </row>
    <row r="14" spans="1:35" outlineLevel="1" x14ac:dyDescent="0.3">
      <c r="B14" s="54" t="s">
        <v>96</v>
      </c>
      <c r="C14" s="54" t="s">
        <v>116</v>
      </c>
      <c r="D14" s="118">
        <v>225.90310199999979</v>
      </c>
      <c r="E14" s="122">
        <v>802.70811900000012</v>
      </c>
      <c r="F14" s="118">
        <v>734.02554399999951</v>
      </c>
      <c r="G14" s="122">
        <v>1032.8294050000002</v>
      </c>
      <c r="H14" s="118">
        <v>183.68719399999992</v>
      </c>
      <c r="I14" s="122">
        <v>551.4617430000003</v>
      </c>
      <c r="J14" s="118">
        <v>518.74736800000005</v>
      </c>
      <c r="K14" s="122">
        <v>805.89233099999899</v>
      </c>
      <c r="L14" s="118">
        <v>53.899886999999865</v>
      </c>
      <c r="M14" s="122">
        <v>773.01837299999966</v>
      </c>
      <c r="N14" s="149">
        <v>661</v>
      </c>
      <c r="O14" s="19">
        <f>+'éves P&amp;L_mérleg'!G79</f>
        <v>709.46501700000056</v>
      </c>
      <c r="P14" s="118">
        <f>+P12+P13</f>
        <v>542</v>
      </c>
      <c r="Q14" s="122">
        <f>+Q12+Q13</f>
        <v>1521.9080000000001</v>
      </c>
      <c r="R14" s="149">
        <f>+R12+R13</f>
        <v>1922.8759999999984</v>
      </c>
      <c r="S14" s="122">
        <v>1474.2009999999993</v>
      </c>
      <c r="T14" s="149">
        <v>1191.4490000000014</v>
      </c>
      <c r="U14" s="260">
        <f>+U12+U13</f>
        <v>3462</v>
      </c>
      <c r="V14" s="149">
        <v>5936.617000000002</v>
      </c>
      <c r="W14" s="260">
        <v>7072.2679999999982</v>
      </c>
      <c r="X14" s="149">
        <v>3330.6829999999986</v>
      </c>
      <c r="Y14" s="260">
        <v>9496.1</v>
      </c>
      <c r="Z14" s="149">
        <v>13356.684000000001</v>
      </c>
      <c r="AA14" s="260">
        <f>+'éves P&amp;L_mérleg'!J79</f>
        <v>15756.682000000001</v>
      </c>
      <c r="AB14" s="149">
        <v>6926.3440000000082</v>
      </c>
      <c r="AC14" s="260">
        <v>11062.626000000004</v>
      </c>
      <c r="AD14" s="149">
        <v>13958.634000000002</v>
      </c>
      <c r="AE14" s="260">
        <v>15882.629000000001</v>
      </c>
      <c r="AF14" s="149">
        <v>3411.248999999998</v>
      </c>
      <c r="AG14" s="19">
        <f t="shared" ref="AG14" si="0">+AG12+AG13</f>
        <v>7394.2410000000018</v>
      </c>
      <c r="AH14" s="149">
        <v>10902.187000000005</v>
      </c>
      <c r="AI14" s="19">
        <v>12971.567000000001</v>
      </c>
    </row>
    <row r="15" spans="1:35" outlineLevel="1" x14ac:dyDescent="0.3">
      <c r="B15" s="60" t="s">
        <v>97</v>
      </c>
      <c r="C15" s="60" t="s">
        <v>117</v>
      </c>
      <c r="D15" s="119">
        <v>-287.95242300000001</v>
      </c>
      <c r="E15" s="126">
        <v>-215.85485499999999</v>
      </c>
      <c r="F15" s="119">
        <v>-211.40517</v>
      </c>
      <c r="G15" s="126">
        <v>-117.87471600000001</v>
      </c>
      <c r="H15" s="119">
        <v>-51.014071000000001</v>
      </c>
      <c r="I15" s="126">
        <v>-200.574298</v>
      </c>
      <c r="J15" s="119">
        <v>-216.30257399999999</v>
      </c>
      <c r="K15" s="126">
        <v>-275.81400000000002</v>
      </c>
      <c r="L15" s="119">
        <v>-77.511156</v>
      </c>
      <c r="M15" s="126">
        <v>-289.70930399999997</v>
      </c>
      <c r="N15" s="119">
        <v>-298</v>
      </c>
      <c r="O15" s="70">
        <f>+'éves P&amp;L_mérleg'!G80</f>
        <v>-435.83447100000001</v>
      </c>
      <c r="P15" s="119">
        <v>-152</v>
      </c>
      <c r="Q15" s="126">
        <v>-458</v>
      </c>
      <c r="R15" s="119">
        <v>-740.84500000000003</v>
      </c>
      <c r="S15" s="126">
        <v>-883.66</v>
      </c>
      <c r="T15" s="121">
        <v>-264.267</v>
      </c>
      <c r="U15" s="273">
        <v>-642</v>
      </c>
      <c r="V15" s="121">
        <v>-1030.0730000000001</v>
      </c>
      <c r="W15" s="273">
        <v>-1214.818</v>
      </c>
      <c r="X15" s="121">
        <v>-530.08600000000001</v>
      </c>
      <c r="Y15" s="273">
        <v>-1425</v>
      </c>
      <c r="Z15" s="121">
        <v>-2146.5619999999999</v>
      </c>
      <c r="AA15" s="273">
        <f>+'éves P&amp;L_mérleg'!J80</f>
        <v>-2913.444</v>
      </c>
      <c r="AB15" s="121">
        <v>-1230.9690000000001</v>
      </c>
      <c r="AC15" s="273">
        <v>-2189.9830000000002</v>
      </c>
      <c r="AD15" s="121">
        <v>-2661.2820000000002</v>
      </c>
      <c r="AE15" s="273">
        <v>-3120.5149999999999</v>
      </c>
      <c r="AF15" s="121">
        <v>-786.55600000000004</v>
      </c>
      <c r="AG15" s="70">
        <v>-1547</v>
      </c>
      <c r="AH15" s="121">
        <v>-2342.623</v>
      </c>
      <c r="AI15" s="70">
        <v>-3347.5120000000002</v>
      </c>
    </row>
    <row r="16" spans="1:35" outlineLevel="1" x14ac:dyDescent="0.3">
      <c r="B16" s="200" t="s">
        <v>264</v>
      </c>
      <c r="C16" s="201" t="s">
        <v>265</v>
      </c>
      <c r="D16" s="198"/>
      <c r="E16" s="199"/>
      <c r="F16" s="198"/>
      <c r="G16" s="199"/>
      <c r="H16" s="198"/>
      <c r="I16" s="199"/>
      <c r="J16" s="198"/>
      <c r="K16" s="199"/>
      <c r="L16" s="198"/>
      <c r="M16" s="199"/>
      <c r="N16" s="198"/>
      <c r="O16" s="70"/>
      <c r="P16" s="198">
        <v>-129</v>
      </c>
      <c r="Q16" s="199"/>
      <c r="R16" s="198"/>
      <c r="S16" s="199">
        <v>-0.48</v>
      </c>
      <c r="T16" s="119"/>
      <c r="U16" s="261"/>
      <c r="V16" s="119"/>
      <c r="W16" s="261"/>
      <c r="X16" s="119"/>
      <c r="Y16" s="261"/>
      <c r="Z16" s="119"/>
      <c r="AA16" s="261">
        <f>+'éves P&amp;L_mérleg'!J81</f>
        <v>-1208.98</v>
      </c>
      <c r="AB16" s="119"/>
      <c r="AC16" s="261"/>
      <c r="AD16" s="119"/>
      <c r="AE16" s="261"/>
      <c r="AF16" s="119"/>
      <c r="AG16" s="70"/>
      <c r="AH16" s="119"/>
      <c r="AI16" s="70"/>
    </row>
    <row r="17" spans="1:35" ht="28.8" outlineLevel="1" x14ac:dyDescent="0.3">
      <c r="B17" s="54" t="s">
        <v>98</v>
      </c>
      <c r="C17" s="54" t="s">
        <v>118</v>
      </c>
      <c r="D17" s="120">
        <v>-62.049321000000219</v>
      </c>
      <c r="E17" s="127">
        <v>586.85326400000008</v>
      </c>
      <c r="F17" s="120">
        <v>522.62037399999952</v>
      </c>
      <c r="G17" s="127">
        <v>914.95468900000014</v>
      </c>
      <c r="H17" s="120">
        <v>132.67312299999992</v>
      </c>
      <c r="I17" s="127">
        <v>350.8874450000003</v>
      </c>
      <c r="J17" s="120">
        <v>303</v>
      </c>
      <c r="K17" s="127">
        <v>530.07833099999903</v>
      </c>
      <c r="L17" s="149">
        <v>-23.611269000000135</v>
      </c>
      <c r="M17" s="150">
        <v>483.30906899999968</v>
      </c>
      <c r="N17" s="149">
        <v>363</v>
      </c>
      <c r="O17" s="19">
        <f>+O14+O15</f>
        <v>273.63054600000055</v>
      </c>
      <c r="P17" s="149">
        <f>+P14+P15</f>
        <v>390</v>
      </c>
      <c r="Q17" s="150">
        <f>+Q14+Q15</f>
        <v>1063.9080000000001</v>
      </c>
      <c r="R17" s="149">
        <f>+R14+R15</f>
        <v>1182.0309999999984</v>
      </c>
      <c r="S17" s="150">
        <v>590.54099999999937</v>
      </c>
      <c r="T17" s="76">
        <v>927.18200000000138</v>
      </c>
      <c r="U17" s="260">
        <f>+U14+U15</f>
        <v>2820</v>
      </c>
      <c r="V17" s="76">
        <v>4907</v>
      </c>
      <c r="W17" s="260">
        <v>5857.45</v>
      </c>
      <c r="X17" s="76">
        <v>2800.5969999999988</v>
      </c>
      <c r="Y17" s="260">
        <v>8071.1</v>
      </c>
      <c r="Z17" s="76">
        <v>11210.122000000001</v>
      </c>
      <c r="AA17" s="260">
        <f>+'éves P&amp;L_mérleg'!J82</f>
        <v>12843.238000000001</v>
      </c>
      <c r="AB17" s="76">
        <v>5695</v>
      </c>
      <c r="AC17" s="260">
        <v>8872.6430000000037</v>
      </c>
      <c r="AD17" s="76">
        <v>11297.352000000003</v>
      </c>
      <c r="AE17" s="260">
        <v>12762.114000000001</v>
      </c>
      <c r="AF17" s="76">
        <v>2624.6929999999979</v>
      </c>
      <c r="AG17" s="19">
        <f t="shared" ref="AG17" si="1">+AG14+AG15</f>
        <v>5847.2410000000018</v>
      </c>
      <c r="AH17" s="76">
        <v>8559.5640000000058</v>
      </c>
      <c r="AI17" s="19">
        <v>9624.0550000000003</v>
      </c>
    </row>
    <row r="18" spans="1:35" outlineLevel="1" x14ac:dyDescent="0.3">
      <c r="B18" s="61" t="s">
        <v>99</v>
      </c>
      <c r="C18" s="60" t="s">
        <v>119</v>
      </c>
      <c r="D18" s="121">
        <v>-61.606999000000002</v>
      </c>
      <c r="E18" s="128">
        <v>588.32684300000005</v>
      </c>
      <c r="F18" s="121">
        <v>524.43603960000007</v>
      </c>
      <c r="G18" s="128">
        <v>912.52596700000004</v>
      </c>
      <c r="H18" s="121">
        <v>132.9661706</v>
      </c>
      <c r="I18" s="128">
        <v>351.81632500000001</v>
      </c>
      <c r="J18" s="121">
        <v>304</v>
      </c>
      <c r="K18" s="128">
        <v>511.26202000000001</v>
      </c>
      <c r="L18" s="121">
        <v>-23.343465999999999</v>
      </c>
      <c r="M18" s="128">
        <v>483.57687199999998</v>
      </c>
      <c r="N18" s="121">
        <v>365</v>
      </c>
      <c r="O18" s="70">
        <f>+'éves P&amp;L_mérleg'!G83</f>
        <v>270.71654599999812</v>
      </c>
      <c r="P18" s="121">
        <v>389</v>
      </c>
      <c r="Q18" s="128">
        <v>1062</v>
      </c>
      <c r="R18" s="121">
        <v>1175.8689999999999</v>
      </c>
      <c r="S18" s="128">
        <v>586.66300000000001</v>
      </c>
      <c r="T18" s="121">
        <v>924.30600000000004</v>
      </c>
      <c r="U18" s="259">
        <v>2818</v>
      </c>
      <c r="V18" s="121">
        <v>4904</v>
      </c>
      <c r="W18" s="259">
        <v>5855.1840000000002</v>
      </c>
      <c r="X18" s="121">
        <v>2798.9360000000001</v>
      </c>
      <c r="Y18" s="259">
        <v>8067</v>
      </c>
      <c r="Z18" s="121">
        <v>11204.511</v>
      </c>
      <c r="AA18" s="259">
        <f>+'éves P&amp;L_mérleg'!J83</f>
        <v>12887.893</v>
      </c>
      <c r="AB18" s="121">
        <v>5744.14</v>
      </c>
      <c r="AC18" s="259">
        <v>8960.8950000000004</v>
      </c>
      <c r="AD18" s="121">
        <v>11366.638999999999</v>
      </c>
      <c r="AE18" s="259">
        <v>12803.477999999999</v>
      </c>
      <c r="AF18" s="121">
        <v>2549.259</v>
      </c>
      <c r="AG18" s="70">
        <v>5683</v>
      </c>
      <c r="AH18" s="121">
        <v>8349.5</v>
      </c>
      <c r="AI18" s="70">
        <v>9624</v>
      </c>
    </row>
    <row r="19" spans="1:35" ht="28.8" outlineLevel="1" x14ac:dyDescent="0.3">
      <c r="B19" s="62" t="s">
        <v>120</v>
      </c>
      <c r="C19" s="62" t="s">
        <v>121</v>
      </c>
      <c r="D19" s="119">
        <v>-0.44232200000021749</v>
      </c>
      <c r="E19" s="126">
        <v>-1.4735789999999724</v>
      </c>
      <c r="F19" s="119">
        <v>-1.8156656000005569</v>
      </c>
      <c r="G19" s="126">
        <v>2.4287220000001071</v>
      </c>
      <c r="H19" s="119">
        <v>-0.29304760000007946</v>
      </c>
      <c r="I19" s="126">
        <v>-0.92887999999970816</v>
      </c>
      <c r="J19" s="119">
        <v>-0.71469199999887678</v>
      </c>
      <c r="K19" s="126">
        <v>18.816310999999018</v>
      </c>
      <c r="L19" s="119">
        <v>-0.26780300000013568</v>
      </c>
      <c r="M19" s="126">
        <v>-0.26780300000029911</v>
      </c>
      <c r="N19" s="119">
        <v>-2</v>
      </c>
      <c r="O19" s="71">
        <f>+'éves P&amp;L_mérleg'!G84</f>
        <v>2.9140000000000001</v>
      </c>
      <c r="P19" s="119">
        <v>2</v>
      </c>
      <c r="Q19" s="126">
        <v>2</v>
      </c>
      <c r="R19" s="119">
        <v>6.1619999999999999</v>
      </c>
      <c r="S19" s="126">
        <v>3.8780000000000001</v>
      </c>
      <c r="T19" s="119">
        <v>2.8759999999999999</v>
      </c>
      <c r="U19" s="261">
        <v>2</v>
      </c>
      <c r="V19" s="119">
        <v>2</v>
      </c>
      <c r="W19" s="261">
        <v>2.266</v>
      </c>
      <c r="X19" s="119">
        <v>1.661</v>
      </c>
      <c r="Y19" s="261">
        <v>4</v>
      </c>
      <c r="Z19" s="119">
        <v>5.6109999999999998</v>
      </c>
      <c r="AA19" s="261">
        <f>+'éves P&amp;L_mérleg'!J84</f>
        <v>-44.601999999999997</v>
      </c>
      <c r="AB19" s="119">
        <v>-48.765000000000001</v>
      </c>
      <c r="AC19" s="261">
        <v>-88.251999999999995</v>
      </c>
      <c r="AD19" s="119">
        <v>-69.287000000000006</v>
      </c>
      <c r="AE19" s="261">
        <v>-41.363999999999997</v>
      </c>
      <c r="AF19" s="119">
        <v>75.433999999999997</v>
      </c>
      <c r="AG19" s="71">
        <v>164</v>
      </c>
      <c r="AH19" s="119">
        <v>210.06399999999999</v>
      </c>
      <c r="AI19" s="71">
        <v>0</v>
      </c>
    </row>
    <row r="20" spans="1:35" ht="15" outlineLevel="1" thickBot="1" x14ac:dyDescent="0.35">
      <c r="B20" s="60" t="s">
        <v>122</v>
      </c>
      <c r="C20" s="60" t="s">
        <v>123</v>
      </c>
      <c r="D20" s="119">
        <v>-360.79593499999999</v>
      </c>
      <c r="E20" s="126">
        <v>-591.428675</v>
      </c>
      <c r="F20" s="119">
        <v>-428.63687599999997</v>
      </c>
      <c r="G20" s="126">
        <v>-479.54411900000002</v>
      </c>
      <c r="H20" s="119">
        <v>-86.041819000000004</v>
      </c>
      <c r="I20" s="126">
        <v>322.11162000000002</v>
      </c>
      <c r="J20" s="119">
        <v>322.11162000000002</v>
      </c>
      <c r="K20" s="126">
        <v>-259.631775</v>
      </c>
      <c r="L20" s="119">
        <v>-1061.3122229999999</v>
      </c>
      <c r="M20" s="126">
        <v>-1061.3122229999999</v>
      </c>
      <c r="N20" s="119">
        <v>-1043</v>
      </c>
      <c r="O20" s="70">
        <f>+'éves P&amp;L_mérleg'!G85</f>
        <v>-1415.65</v>
      </c>
      <c r="P20" s="119">
        <v>160</v>
      </c>
      <c r="Q20" s="126">
        <v>772.60900000000004</v>
      </c>
      <c r="R20" s="119">
        <v>1766.3579999999999</v>
      </c>
      <c r="S20" s="126">
        <v>2114.2919999999999</v>
      </c>
      <c r="T20" s="119">
        <v>447.88900000000001</v>
      </c>
      <c r="U20" s="259">
        <v>3043</v>
      </c>
      <c r="V20" s="119">
        <v>10839</v>
      </c>
      <c r="W20" s="259">
        <v>4906.63</v>
      </c>
      <c r="X20" s="119">
        <v>3457.777</v>
      </c>
      <c r="Y20" s="259">
        <v>4334</v>
      </c>
      <c r="Z20" s="119">
        <v>7333</v>
      </c>
      <c r="AA20" s="259">
        <f>+'éves P&amp;L_mérleg'!J85</f>
        <v>-3237.1860000000001</v>
      </c>
      <c r="AB20" s="119">
        <v>-1527.3630000000001</v>
      </c>
      <c r="AC20" s="259">
        <v>-1845.375</v>
      </c>
      <c r="AD20" s="119">
        <v>-2176.2130000000002</v>
      </c>
      <c r="AE20" s="259">
        <v>-4458.2690000000002</v>
      </c>
      <c r="AF20" s="119">
        <v>1256.796</v>
      </c>
      <c r="AG20" s="70">
        <v>1948</v>
      </c>
      <c r="AH20" s="119">
        <v>1938.0920000000001</v>
      </c>
      <c r="AI20" s="70">
        <v>3865</v>
      </c>
    </row>
    <row r="21" spans="1:35" ht="30" outlineLevel="1" thickTop="1" thickBot="1" x14ac:dyDescent="0.35">
      <c r="B21" s="55" t="s">
        <v>100</v>
      </c>
      <c r="C21" s="55" t="s">
        <v>124</v>
      </c>
      <c r="D21" s="133">
        <v>-422.84525600000018</v>
      </c>
      <c r="E21" s="129">
        <v>-4.5754109999999173</v>
      </c>
      <c r="F21" s="133">
        <v>93.983497999999543</v>
      </c>
      <c r="G21" s="129">
        <v>435.41057000000012</v>
      </c>
      <c r="H21" s="133">
        <v>46.631303999999915</v>
      </c>
      <c r="I21" s="129">
        <v>672.99906500000031</v>
      </c>
      <c r="J21" s="133">
        <v>625.11162000000002</v>
      </c>
      <c r="K21" s="129">
        <v>270.44655599999902</v>
      </c>
      <c r="L21" s="133">
        <v>-1084.9234920000001</v>
      </c>
      <c r="M21" s="129">
        <v>-578.00315400000022</v>
      </c>
      <c r="N21" s="133">
        <v>-680</v>
      </c>
      <c r="O21" s="25">
        <f>+'éves P&amp;L_mérleg'!G86</f>
        <v>-1142.0194539999995</v>
      </c>
      <c r="P21" s="133">
        <f>+P17+P20</f>
        <v>550</v>
      </c>
      <c r="Q21" s="129">
        <f>+Q17+Q20</f>
        <v>1836.5170000000003</v>
      </c>
      <c r="R21" s="133">
        <f>+R17+R20</f>
        <v>2948.3889999999983</v>
      </c>
      <c r="S21" s="129">
        <v>2704.8329999999992</v>
      </c>
      <c r="T21" s="133">
        <v>1375.0710000000013</v>
      </c>
      <c r="U21" s="262">
        <f>+U17+U20</f>
        <v>5863</v>
      </c>
      <c r="V21" s="133">
        <v>15746</v>
      </c>
      <c r="W21" s="262">
        <v>10764.08</v>
      </c>
      <c r="X21" s="133">
        <v>6258.3739999999989</v>
      </c>
      <c r="Y21" s="262">
        <v>12405.1</v>
      </c>
      <c r="Z21" s="133">
        <v>18543</v>
      </c>
      <c r="AA21" s="262">
        <f>+'éves P&amp;L_mérleg'!J86</f>
        <v>9606.0520000000015</v>
      </c>
      <c r="AB21" s="133">
        <v>4168</v>
      </c>
      <c r="AC21" s="262">
        <v>7027.2680000000037</v>
      </c>
      <c r="AD21" s="133">
        <v>9121.1390000000029</v>
      </c>
      <c r="AE21" s="262">
        <v>8303.8450000000012</v>
      </c>
      <c r="AF21" s="133">
        <v>3881</v>
      </c>
      <c r="AG21" s="25">
        <f t="shared" ref="AG21:AH21" si="2">+AG17+AG20</f>
        <v>7795.2410000000018</v>
      </c>
      <c r="AH21" s="133">
        <f t="shared" si="2"/>
        <v>10497.656000000006</v>
      </c>
      <c r="AI21" s="25">
        <v>13489.055</v>
      </c>
    </row>
    <row r="22" spans="1:35" ht="15" outlineLevel="1" thickTop="1" x14ac:dyDescent="0.3">
      <c r="B22" s="60" t="s">
        <v>99</v>
      </c>
      <c r="C22" s="60" t="s">
        <v>119</v>
      </c>
      <c r="D22" s="131">
        <v>-422.40293400000002</v>
      </c>
      <c r="E22" s="124">
        <v>-3.1018319999999999</v>
      </c>
      <c r="F22" s="131">
        <v>95.7991636</v>
      </c>
      <c r="G22" s="124">
        <v>432.98184800000001</v>
      </c>
      <c r="H22" s="131">
        <v>46.924351600000001</v>
      </c>
      <c r="I22" s="124">
        <v>673.92794500000002</v>
      </c>
      <c r="J22" s="131">
        <v>625.51848700000005</v>
      </c>
      <c r="K22" s="124">
        <v>251.58546200000001</v>
      </c>
      <c r="L22" s="131">
        <v>-1084.6556889999999</v>
      </c>
      <c r="M22" s="124">
        <v>-577.73535100000004</v>
      </c>
      <c r="N22" s="131">
        <v>-678</v>
      </c>
      <c r="O22" s="70">
        <f>+'éves P&amp;L_mérleg'!G87</f>
        <v>0</v>
      </c>
      <c r="P22" s="131">
        <v>549</v>
      </c>
      <c r="Q22" s="124">
        <v>1835</v>
      </c>
      <c r="R22" s="131">
        <v>2948</v>
      </c>
      <c r="S22" s="124"/>
      <c r="T22" s="131">
        <v>1372.1950000000013</v>
      </c>
      <c r="U22" s="259">
        <v>5861</v>
      </c>
      <c r="V22" s="131">
        <v>15743</v>
      </c>
      <c r="W22" s="259">
        <v>10761.832999999999</v>
      </c>
      <c r="X22" s="131">
        <v>6256.7129999999988</v>
      </c>
      <c r="Y22" s="259">
        <v>12401</v>
      </c>
      <c r="Z22" s="131">
        <v>18537.776999999998</v>
      </c>
      <c r="AA22" s="259">
        <f>+'éves P&amp;L_mérleg'!J87</f>
        <v>9651</v>
      </c>
      <c r="AB22" s="131">
        <v>4217</v>
      </c>
      <c r="AC22" s="259">
        <v>7115.5200000000041</v>
      </c>
      <c r="AD22" s="131">
        <v>9190.4260000000031</v>
      </c>
      <c r="AE22" s="259">
        <v>8345</v>
      </c>
      <c r="AF22" s="131">
        <v>3806.0549999999976</v>
      </c>
      <c r="AG22" s="70">
        <v>7631</v>
      </c>
      <c r="AH22" s="131">
        <v>10287.592000000006</v>
      </c>
      <c r="AI22" s="70">
        <v>8345</v>
      </c>
    </row>
    <row r="23" spans="1:35" ht="29.4" outlineLevel="1" thickBot="1" x14ac:dyDescent="0.35">
      <c r="B23" s="60" t="s">
        <v>120</v>
      </c>
      <c r="C23" s="62" t="s">
        <v>121</v>
      </c>
      <c r="D23" s="132">
        <v>-0.44232200000016064</v>
      </c>
      <c r="E23" s="125">
        <v>-1.4735789999999174</v>
      </c>
      <c r="F23" s="132">
        <v>-1.8156656000004574</v>
      </c>
      <c r="G23" s="125">
        <v>2.4287220000001071</v>
      </c>
      <c r="H23" s="132">
        <v>-0.29304760000008656</v>
      </c>
      <c r="I23" s="125">
        <v>-0.92887999999970816</v>
      </c>
      <c r="J23" s="132">
        <v>-0.71469199999887678</v>
      </c>
      <c r="K23" s="125">
        <v>18.861093999999014</v>
      </c>
      <c r="L23" s="132">
        <v>-0.26780300000018542</v>
      </c>
      <c r="M23" s="125">
        <v>-0.26780300000018542</v>
      </c>
      <c r="N23" s="132">
        <v>-2</v>
      </c>
      <c r="O23" s="195">
        <f>+'éves P&amp;L_mérleg'!G88</f>
        <v>0</v>
      </c>
      <c r="P23" s="132">
        <v>2</v>
      </c>
      <c r="Q23" s="125">
        <v>2</v>
      </c>
      <c r="R23" s="132">
        <v>0</v>
      </c>
      <c r="S23" s="125"/>
      <c r="T23" s="132">
        <v>2.8759999999999999</v>
      </c>
      <c r="U23" s="259">
        <v>2</v>
      </c>
      <c r="V23" s="132">
        <v>2</v>
      </c>
      <c r="W23" s="259">
        <v>2.266</v>
      </c>
      <c r="X23" s="132">
        <v>1.661</v>
      </c>
      <c r="Y23" s="259">
        <v>4</v>
      </c>
      <c r="Z23" s="132">
        <v>5.6109999999999998</v>
      </c>
      <c r="AA23" s="259">
        <f>+'éves P&amp;L_mérleg'!J88</f>
        <v>-45</v>
      </c>
      <c r="AB23" s="132">
        <v>-49</v>
      </c>
      <c r="AC23" s="259">
        <v>-88.251999999999995</v>
      </c>
      <c r="AD23" s="132">
        <v>-69.287000000000006</v>
      </c>
      <c r="AE23" s="259">
        <v>-41</v>
      </c>
      <c r="AF23" s="132">
        <v>75.433999999999997</v>
      </c>
      <c r="AG23" s="70">
        <v>164</v>
      </c>
      <c r="AH23" s="132">
        <v>210.06399999999999</v>
      </c>
      <c r="AI23" s="70">
        <v>-41</v>
      </c>
    </row>
    <row r="24" spans="1:35" ht="15.6" outlineLevel="1" thickTop="1" thickBot="1" x14ac:dyDescent="0.35">
      <c r="B24" s="55" t="s">
        <v>101</v>
      </c>
      <c r="C24" s="55" t="s">
        <v>101</v>
      </c>
      <c r="D24" s="133">
        <v>469.15931099999978</v>
      </c>
      <c r="E24" s="129">
        <v>1263.3707420000001</v>
      </c>
      <c r="F24" s="133">
        <v>1399.6039349999996</v>
      </c>
      <c r="G24" s="129">
        <v>1934.9535209999999</v>
      </c>
      <c r="H24" s="133">
        <v>405.07730499999991</v>
      </c>
      <c r="I24" s="129">
        <v>936.13325000000032</v>
      </c>
      <c r="J24" s="133">
        <v>1166.353936</v>
      </c>
      <c r="K24" s="129">
        <v>1800.566902999999</v>
      </c>
      <c r="L24" s="133">
        <v>453.83241499999986</v>
      </c>
      <c r="M24" s="129">
        <v>2122.8434949999996</v>
      </c>
      <c r="N24" s="133">
        <v>2799</v>
      </c>
      <c r="O24" s="25">
        <f>+'éves P&amp;L_mérleg'!G89</f>
        <v>3779.18</v>
      </c>
      <c r="P24" s="133">
        <f>+P12-P10-P8</f>
        <v>1160</v>
      </c>
      <c r="Q24" s="129">
        <f>+Q12-Q10-Q8</f>
        <v>3137.3770000000004</v>
      </c>
      <c r="R24" s="133">
        <v>4428.2060000000001</v>
      </c>
      <c r="S24" s="129">
        <v>5512</v>
      </c>
      <c r="T24" s="133">
        <v>2299.8390986255072</v>
      </c>
      <c r="U24" s="262">
        <v>6213</v>
      </c>
      <c r="V24" s="133">
        <v>9698</v>
      </c>
      <c r="W24" s="262">
        <v>12879.987999999998</v>
      </c>
      <c r="X24" s="133">
        <v>4616</v>
      </c>
      <c r="Y24" s="262">
        <v>11808</v>
      </c>
      <c r="Z24" s="133">
        <v>16337</v>
      </c>
      <c r="AA24" s="262">
        <f>+'éves P&amp;L_mérleg'!J89</f>
        <v>20220.628000000001</v>
      </c>
      <c r="AB24" s="133">
        <v>7840</v>
      </c>
      <c r="AC24" s="262">
        <v>12766.328000000009</v>
      </c>
      <c r="AD24" s="133">
        <v>16329.417000000001</v>
      </c>
      <c r="AE24" s="262">
        <v>19432</v>
      </c>
      <c r="AF24" s="133">
        <v>4487.0460000000003</v>
      </c>
      <c r="AG24" s="25">
        <v>9763</v>
      </c>
      <c r="AH24" s="133">
        <v>14811.062000000007</v>
      </c>
      <c r="AI24" s="25">
        <v>19048</v>
      </c>
    </row>
    <row r="25" spans="1:35" ht="15" thickTop="1" x14ac:dyDescent="0.3"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</row>
    <row r="26" spans="1:35" x14ac:dyDescent="0.3">
      <c r="A26" s="1" t="s">
        <v>0</v>
      </c>
      <c r="B26" s="112" t="s">
        <v>356</v>
      </c>
      <c r="C26" s="112" t="s">
        <v>1</v>
      </c>
      <c r="D26" s="102">
        <v>42825</v>
      </c>
      <c r="E26" s="102">
        <v>42916</v>
      </c>
      <c r="F26" s="102">
        <v>43008</v>
      </c>
      <c r="G26" s="102">
        <v>43100</v>
      </c>
      <c r="H26" s="102">
        <v>43190</v>
      </c>
      <c r="I26" s="102">
        <v>43281</v>
      </c>
      <c r="J26" s="102">
        <v>43373</v>
      </c>
      <c r="K26" s="102">
        <v>43465</v>
      </c>
      <c r="L26" s="102">
        <v>43555</v>
      </c>
      <c r="M26" s="102">
        <v>43646</v>
      </c>
      <c r="N26" s="102">
        <v>43738</v>
      </c>
      <c r="O26" s="102">
        <v>43830</v>
      </c>
      <c r="P26" s="102">
        <v>43921</v>
      </c>
      <c r="Q26" s="102">
        <v>44012</v>
      </c>
      <c r="R26" s="102">
        <v>44104</v>
      </c>
      <c r="S26" s="102">
        <v>44196</v>
      </c>
      <c r="T26" s="102">
        <v>44286</v>
      </c>
      <c r="U26" s="102">
        <v>44377</v>
      </c>
      <c r="V26" s="102">
        <v>44469</v>
      </c>
      <c r="W26" s="102">
        <v>44561</v>
      </c>
      <c r="X26" s="102">
        <v>44651</v>
      </c>
      <c r="Y26" s="102">
        <v>44742</v>
      </c>
      <c r="Z26" s="102">
        <v>44834</v>
      </c>
      <c r="AA26" s="102">
        <v>44926</v>
      </c>
      <c r="AB26" s="102">
        <v>45016</v>
      </c>
      <c r="AC26" s="102">
        <v>45107</v>
      </c>
      <c r="AD26" s="102">
        <v>45199</v>
      </c>
      <c r="AE26" s="102">
        <v>45291</v>
      </c>
      <c r="AF26" s="102">
        <v>45382</v>
      </c>
      <c r="AG26" s="102">
        <v>45473</v>
      </c>
      <c r="AH26" s="102">
        <v>45565</v>
      </c>
      <c r="AI26" s="102">
        <v>45657</v>
      </c>
    </row>
    <row r="27" spans="1:35" ht="15" customHeight="1" thickBot="1" x14ac:dyDescent="0.35">
      <c r="B27" s="112" t="s">
        <v>92</v>
      </c>
      <c r="C27" s="113" t="s">
        <v>126</v>
      </c>
      <c r="D27" s="100" t="s">
        <v>130</v>
      </c>
      <c r="E27" s="100" t="s">
        <v>130</v>
      </c>
      <c r="F27" s="100" t="s">
        <v>130</v>
      </c>
      <c r="G27" s="100" t="s">
        <v>130</v>
      </c>
      <c r="H27" s="100" t="s">
        <v>130</v>
      </c>
      <c r="I27" s="100" t="s">
        <v>130</v>
      </c>
      <c r="J27" s="100" t="s">
        <v>130</v>
      </c>
      <c r="K27" s="100" t="s">
        <v>130</v>
      </c>
      <c r="L27" s="100" t="s">
        <v>130</v>
      </c>
      <c r="M27" s="100" t="s">
        <v>130</v>
      </c>
      <c r="N27" s="100" t="s">
        <v>130</v>
      </c>
      <c r="O27" s="100" t="s">
        <v>280</v>
      </c>
      <c r="P27" s="100" t="s">
        <v>130</v>
      </c>
      <c r="Q27" s="100" t="s">
        <v>130</v>
      </c>
      <c r="R27" s="100" t="s">
        <v>130</v>
      </c>
      <c r="S27" s="100" t="s">
        <v>280</v>
      </c>
      <c r="T27" s="100" t="s">
        <v>130</v>
      </c>
      <c r="U27" s="100" t="s">
        <v>130</v>
      </c>
      <c r="V27" s="100" t="s">
        <v>130</v>
      </c>
      <c r="W27" s="100" t="s">
        <v>130</v>
      </c>
      <c r="X27" s="100" t="s">
        <v>130</v>
      </c>
      <c r="Y27" s="100" t="s">
        <v>130</v>
      </c>
      <c r="Z27" s="100" t="s">
        <v>130</v>
      </c>
      <c r="AA27" s="100" t="s">
        <v>280</v>
      </c>
      <c r="AB27" s="100" t="s">
        <v>130</v>
      </c>
      <c r="AC27" s="100" t="s">
        <v>130</v>
      </c>
      <c r="AD27" s="100" t="s">
        <v>130</v>
      </c>
      <c r="AE27" s="100" t="s">
        <v>280</v>
      </c>
      <c r="AF27" s="100" t="s">
        <v>130</v>
      </c>
      <c r="AG27" s="100" t="s">
        <v>130</v>
      </c>
      <c r="AH27" s="100" t="s">
        <v>130</v>
      </c>
      <c r="AI27" s="100" t="s">
        <v>280</v>
      </c>
    </row>
    <row r="28" spans="1:35" ht="15" thickBot="1" x14ac:dyDescent="0.35">
      <c r="B28" s="64" t="s">
        <v>3</v>
      </c>
      <c r="C28" s="64" t="s">
        <v>4</v>
      </c>
      <c r="D28" s="80">
        <v>6558.3052749999988</v>
      </c>
      <c r="E28" s="88">
        <v>6414.710567000001</v>
      </c>
      <c r="F28" s="80">
        <v>6281.6386899999998</v>
      </c>
      <c r="G28" s="88">
        <v>7546.1141420000013</v>
      </c>
      <c r="H28" s="80">
        <v>9264.8362820000002</v>
      </c>
      <c r="I28" s="88">
        <v>8980.4142399999982</v>
      </c>
      <c r="J28" s="80">
        <v>11905.617623000004</v>
      </c>
      <c r="K28" s="88">
        <v>13716.254757999999</v>
      </c>
      <c r="L28" s="80">
        <v>16324.202993999999</v>
      </c>
      <c r="M28" s="88">
        <v>24087.058890999997</v>
      </c>
      <c r="N28" s="80">
        <v>24058</v>
      </c>
      <c r="O28" s="88">
        <v>24465</v>
      </c>
      <c r="P28" s="80">
        <v>25538</v>
      </c>
      <c r="Q28" s="88">
        <v>25768.705000000002</v>
      </c>
      <c r="R28" s="80">
        <v>26335</v>
      </c>
      <c r="S28" s="88">
        <f>+'éves P&amp;L_mérleg'!H6</f>
        <v>31065.255000000001</v>
      </c>
      <c r="T28" s="80">
        <v>30967.454000000002</v>
      </c>
      <c r="U28" s="88">
        <f>+'féléves P&amp;L_mérleg'!H30</f>
        <v>29983.1</v>
      </c>
      <c r="V28" s="80">
        <v>31287.958999999999</v>
      </c>
      <c r="W28" s="88">
        <v>31370.772000000001</v>
      </c>
      <c r="X28" s="80">
        <v>31096.152999999998</v>
      </c>
      <c r="Y28" s="88">
        <v>31029</v>
      </c>
      <c r="Z28" s="80">
        <v>32587.387999999999</v>
      </c>
      <c r="AA28" s="88">
        <v>34941.457000000002</v>
      </c>
      <c r="AB28" s="80">
        <v>35708</v>
      </c>
      <c r="AC28" s="88">
        <v>37925.5</v>
      </c>
      <c r="AD28" s="80">
        <v>39966.343000000001</v>
      </c>
      <c r="AE28" s="88">
        <v>43573</v>
      </c>
      <c r="AF28" s="80">
        <v>45162.406000000003</v>
      </c>
      <c r="AG28" s="88">
        <v>48541.233999999997</v>
      </c>
      <c r="AH28" s="80">
        <v>49654.607000000004</v>
      </c>
      <c r="AI28" s="88">
        <v>60205.130000000005</v>
      </c>
    </row>
    <row r="29" spans="1:35" ht="29.4" thickBot="1" x14ac:dyDescent="0.35">
      <c r="B29" s="64" t="s">
        <v>133</v>
      </c>
      <c r="C29" s="64" t="s">
        <v>26</v>
      </c>
      <c r="D29" s="83">
        <v>9012.5330919999997</v>
      </c>
      <c r="E29" s="91">
        <v>8405.1333379999996</v>
      </c>
      <c r="F29" s="83">
        <v>8474.491947999999</v>
      </c>
      <c r="G29" s="91">
        <v>9048.883253</v>
      </c>
      <c r="H29" s="83">
        <v>7628.5977700000003</v>
      </c>
      <c r="I29" s="91">
        <v>6946.6078729999999</v>
      </c>
      <c r="J29" s="83">
        <v>7752.4946860000018</v>
      </c>
      <c r="K29" s="91">
        <v>9142.8433459999997</v>
      </c>
      <c r="L29" s="83">
        <v>9461.3970979999995</v>
      </c>
      <c r="M29" s="91">
        <v>9124.4046550000003</v>
      </c>
      <c r="N29" s="83">
        <v>9121</v>
      </c>
      <c r="O29" s="91">
        <v>13211</v>
      </c>
      <c r="P29" s="83">
        <v>14068</v>
      </c>
      <c r="Q29" s="91">
        <v>12068.826999999999</v>
      </c>
      <c r="R29" s="83">
        <v>10852</v>
      </c>
      <c r="S29" s="91">
        <f>+'éves P&amp;L_mérleg'!H19</f>
        <v>13819.105</v>
      </c>
      <c r="T29" s="83">
        <v>14265.504999999999</v>
      </c>
      <c r="U29" s="91">
        <f>+'féléves P&amp;L_mérleg'!H43</f>
        <v>19112</v>
      </c>
      <c r="V29" s="83">
        <v>32826.106</v>
      </c>
      <c r="W29" s="91">
        <v>29389.975999999999</v>
      </c>
      <c r="X29" s="83">
        <v>35076.673000000003</v>
      </c>
      <c r="Y29" s="91">
        <v>35207</v>
      </c>
      <c r="Z29" s="83">
        <v>54200.688000000002</v>
      </c>
      <c r="AA29" s="91">
        <v>65078.936999999998</v>
      </c>
      <c r="AB29" s="83">
        <v>54099.527000000002</v>
      </c>
      <c r="AC29" s="91">
        <v>45198</v>
      </c>
      <c r="AD29" s="83">
        <v>45103.73</v>
      </c>
      <c r="AE29" s="91">
        <v>48405</v>
      </c>
      <c r="AF29" s="83">
        <v>46780.027000000002</v>
      </c>
      <c r="AG29" s="91">
        <v>34140.769999999997</v>
      </c>
      <c r="AH29" s="83">
        <v>37100.889000000003</v>
      </c>
      <c r="AI29" s="91">
        <v>37858.398000000001</v>
      </c>
    </row>
    <row r="30" spans="1:35" x14ac:dyDescent="0.3">
      <c r="B30" s="63" t="s">
        <v>326</v>
      </c>
      <c r="C30" s="63" t="s">
        <v>312</v>
      </c>
      <c r="D30" s="281"/>
      <c r="E30" s="282"/>
      <c r="F30" s="281"/>
      <c r="G30" s="282"/>
      <c r="H30" s="281"/>
      <c r="I30" s="282"/>
      <c r="J30" s="281"/>
      <c r="K30" s="282"/>
      <c r="L30" s="281"/>
      <c r="M30" s="282"/>
      <c r="N30" s="281"/>
      <c r="O30" s="282"/>
      <c r="P30" s="281"/>
      <c r="Q30" s="282"/>
      <c r="R30" s="281"/>
      <c r="S30" s="282"/>
      <c r="T30" s="281"/>
      <c r="U30" s="282"/>
      <c r="V30" s="281"/>
      <c r="W30" s="283">
        <v>5831</v>
      </c>
      <c r="X30" s="284"/>
      <c r="Y30" s="283">
        <v>10594</v>
      </c>
      <c r="Z30" s="284">
        <v>13889.777011</v>
      </c>
      <c r="AA30" s="283">
        <v>2598.0557640000002</v>
      </c>
      <c r="AB30" s="284">
        <v>1432.705492</v>
      </c>
      <c r="AC30" s="283">
        <v>2033</v>
      </c>
      <c r="AD30" s="284">
        <v>1178.2959049999999</v>
      </c>
      <c r="AE30" s="283">
        <v>877</v>
      </c>
      <c r="AF30" s="284">
        <v>823.087762</v>
      </c>
      <c r="AG30" s="283">
        <v>638.84568800000011</v>
      </c>
      <c r="AH30" s="284">
        <v>420.52833100000004</v>
      </c>
      <c r="AI30" s="283">
        <v>0</v>
      </c>
    </row>
    <row r="31" spans="1:35" x14ac:dyDescent="0.3">
      <c r="B31" s="63" t="s">
        <v>327</v>
      </c>
      <c r="C31" s="63" t="s">
        <v>332</v>
      </c>
      <c r="D31" s="84">
        <v>4310.0533619999997</v>
      </c>
      <c r="E31" s="92">
        <v>2644.3591240000001</v>
      </c>
      <c r="F31" s="84">
        <v>2689.4344040000001</v>
      </c>
      <c r="G31" s="92">
        <v>2825.6977069999998</v>
      </c>
      <c r="H31" s="84">
        <v>1799.4891869999999</v>
      </c>
      <c r="I31" s="92">
        <v>1343.0653239999999</v>
      </c>
      <c r="J31" s="84">
        <v>1279.6907329999999</v>
      </c>
      <c r="K31" s="92">
        <v>2561.2183420000001</v>
      </c>
      <c r="L31" s="84">
        <v>3573.626659</v>
      </c>
      <c r="M31" s="92">
        <v>2332.786779</v>
      </c>
      <c r="N31" s="84">
        <v>3564</v>
      </c>
      <c r="O31" s="92">
        <v>4897</v>
      </c>
      <c r="P31" s="84">
        <v>3619</v>
      </c>
      <c r="Q31" s="92">
        <v>3968</v>
      </c>
      <c r="R31" s="84">
        <v>2848</v>
      </c>
      <c r="S31" s="92">
        <f>+'éves P&amp;L_mérleg'!H27</f>
        <v>3455.0450000000001</v>
      </c>
      <c r="T31" s="84">
        <v>4250.3379999999997</v>
      </c>
      <c r="U31" s="92">
        <f>+'féléves P&amp;L_mérleg'!H51</f>
        <v>7154</v>
      </c>
      <c r="V31" s="84">
        <v>9675.875</v>
      </c>
      <c r="W31" s="92">
        <v>3679.2530000000002</v>
      </c>
      <c r="X31" s="84">
        <v>4039.4859999999999</v>
      </c>
      <c r="Y31" s="92">
        <v>7871</v>
      </c>
      <c r="Z31" s="84">
        <v>13280.556</v>
      </c>
      <c r="AA31" s="92">
        <v>16465</v>
      </c>
      <c r="AB31" s="84">
        <v>26215.137999999999</v>
      </c>
      <c r="AC31" s="92">
        <v>25074</v>
      </c>
      <c r="AD31" s="84">
        <v>25824.062000000002</v>
      </c>
      <c r="AE31" s="92">
        <v>24345</v>
      </c>
      <c r="AF31" s="84">
        <v>17387.924999999999</v>
      </c>
      <c r="AG31" s="92">
        <v>10693.566000000001</v>
      </c>
      <c r="AH31" s="84">
        <v>13131.424000000001</v>
      </c>
      <c r="AI31" s="92">
        <v>10201.897999999999</v>
      </c>
    </row>
    <row r="32" spans="1:35" x14ac:dyDescent="0.3">
      <c r="B32" s="63" t="s">
        <v>348</v>
      </c>
      <c r="C32" s="63" t="s">
        <v>349</v>
      </c>
      <c r="D32" s="84"/>
      <c r="E32" s="92"/>
      <c r="F32" s="84"/>
      <c r="G32" s="92"/>
      <c r="H32" s="84"/>
      <c r="I32" s="92"/>
      <c r="J32" s="84"/>
      <c r="K32" s="92"/>
      <c r="L32" s="84"/>
      <c r="M32" s="92"/>
      <c r="N32" s="84"/>
      <c r="O32" s="92"/>
      <c r="P32" s="84"/>
      <c r="Q32" s="92"/>
      <c r="R32" s="84"/>
      <c r="S32" s="92"/>
      <c r="T32" s="84"/>
      <c r="U32" s="92"/>
      <c r="V32" s="84"/>
      <c r="W32" s="92"/>
      <c r="X32" s="84"/>
      <c r="Y32" s="92"/>
      <c r="Z32" s="84"/>
      <c r="AA32" s="92">
        <v>1779</v>
      </c>
      <c r="AB32" s="84"/>
      <c r="AC32" s="92">
        <v>1196</v>
      </c>
      <c r="AD32" s="84">
        <v>1039.03</v>
      </c>
      <c r="AE32" s="92">
        <v>2041</v>
      </c>
      <c r="AF32" s="84">
        <v>3607.8009999999999</v>
      </c>
      <c r="AG32" s="92">
        <v>1145.8009999999999</v>
      </c>
      <c r="AH32" s="84">
        <v>1299.154</v>
      </c>
      <c r="AI32" s="92">
        <v>2886</v>
      </c>
    </row>
    <row r="33" spans="2:35" ht="28.8" x14ac:dyDescent="0.3">
      <c r="B33" s="63" t="s">
        <v>328</v>
      </c>
      <c r="C33" s="63" t="s">
        <v>330</v>
      </c>
      <c r="D33" s="84"/>
      <c r="E33" s="92"/>
      <c r="F33" s="84"/>
      <c r="G33" s="92"/>
      <c r="H33" s="84"/>
      <c r="I33" s="92"/>
      <c r="J33" s="84"/>
      <c r="K33" s="92"/>
      <c r="L33" s="84"/>
      <c r="M33" s="92"/>
      <c r="N33" s="84"/>
      <c r="O33" s="92"/>
      <c r="P33" s="84"/>
      <c r="Q33" s="92"/>
      <c r="R33" s="84"/>
      <c r="S33" s="92"/>
      <c r="T33" s="84"/>
      <c r="U33" s="92"/>
      <c r="V33" s="84"/>
      <c r="W33" s="92"/>
      <c r="X33" s="84"/>
      <c r="Y33" s="92"/>
      <c r="Z33" s="84"/>
      <c r="AA33" s="92">
        <v>31384.121868000002</v>
      </c>
      <c r="AB33" s="84"/>
      <c r="AC33" s="92">
        <v>11510</v>
      </c>
      <c r="AD33" s="84">
        <v>10738.636758000001</v>
      </c>
      <c r="AE33" s="92">
        <v>15560</v>
      </c>
      <c r="AF33" s="84">
        <v>16547.269297999999</v>
      </c>
      <c r="AG33" s="92">
        <v>15711.675068</v>
      </c>
      <c r="AH33" s="84">
        <v>13810.277238999999</v>
      </c>
      <c r="AI33" s="92">
        <v>21266</v>
      </c>
    </row>
    <row r="34" spans="2:35" ht="15" thickBot="1" x14ac:dyDescent="0.35">
      <c r="B34" s="63" t="s">
        <v>329</v>
      </c>
      <c r="C34" s="63" t="s">
        <v>331</v>
      </c>
      <c r="D34" s="84"/>
      <c r="E34" s="92"/>
      <c r="F34" s="84"/>
      <c r="G34" s="92"/>
      <c r="H34" s="84"/>
      <c r="I34" s="92"/>
      <c r="J34" s="84"/>
      <c r="K34" s="92"/>
      <c r="L34" s="84"/>
      <c r="M34" s="92"/>
      <c r="N34" s="84"/>
      <c r="O34" s="92"/>
      <c r="P34" s="84"/>
      <c r="Q34" s="92"/>
      <c r="R34" s="84"/>
      <c r="S34" s="92"/>
      <c r="T34" s="84"/>
      <c r="U34" s="92"/>
      <c r="V34" s="84"/>
      <c r="W34" s="92"/>
      <c r="X34" s="84"/>
      <c r="Y34" s="92"/>
      <c r="Z34" s="84"/>
      <c r="AA34" s="92">
        <v>12852.759367999992</v>
      </c>
      <c r="AB34" s="84">
        <v>5582.206514999998</v>
      </c>
      <c r="AC34" s="92">
        <v>5385</v>
      </c>
      <c r="AD34" s="84">
        <v>6323.7053369999994</v>
      </c>
      <c r="AE34" s="92">
        <v>5582</v>
      </c>
      <c r="AF34" s="84">
        <v>8413.9439400000047</v>
      </c>
      <c r="AG34" s="92">
        <v>5950.8822439999967</v>
      </c>
      <c r="AH34" s="84">
        <v>8439.5054300000047</v>
      </c>
      <c r="AI34" s="92">
        <v>3504.5</v>
      </c>
    </row>
    <row r="35" spans="2:35" ht="15.6" thickTop="1" thickBot="1" x14ac:dyDescent="0.35">
      <c r="B35" s="65" t="s">
        <v>41</v>
      </c>
      <c r="C35" s="65" t="s">
        <v>42</v>
      </c>
      <c r="D35" s="85">
        <f t="shared" ref="D35:M35" si="3">D29+D28</f>
        <v>15570.838366999998</v>
      </c>
      <c r="E35" s="93">
        <f t="shared" si="3"/>
        <v>14819.843905000002</v>
      </c>
      <c r="F35" s="85">
        <f t="shared" si="3"/>
        <v>14756.130637999999</v>
      </c>
      <c r="G35" s="93">
        <f t="shared" si="3"/>
        <v>16594.997395000002</v>
      </c>
      <c r="H35" s="85">
        <f t="shared" si="3"/>
        <v>16893.434052000001</v>
      </c>
      <c r="I35" s="93">
        <f t="shared" si="3"/>
        <v>15927.022112999999</v>
      </c>
      <c r="J35" s="85">
        <f t="shared" si="3"/>
        <v>19658.112309000004</v>
      </c>
      <c r="K35" s="93">
        <f t="shared" si="3"/>
        <v>22859.098103999997</v>
      </c>
      <c r="L35" s="85">
        <f t="shared" si="3"/>
        <v>25785.600092000001</v>
      </c>
      <c r="M35" s="93">
        <f t="shared" si="3"/>
        <v>33211.463545999999</v>
      </c>
      <c r="N35" s="85">
        <v>33179</v>
      </c>
      <c r="O35" s="85">
        <f>O29+O28</f>
        <v>37676</v>
      </c>
      <c r="P35" s="85">
        <v>39606</v>
      </c>
      <c r="Q35" s="93">
        <v>37878</v>
      </c>
      <c r="R35" s="85">
        <v>37187</v>
      </c>
      <c r="S35" s="93">
        <f>+'éves P&amp;L_mérleg'!H29</f>
        <v>44884.36</v>
      </c>
      <c r="T35" s="85">
        <v>45233</v>
      </c>
      <c r="U35" s="93">
        <f>+'féléves P&amp;L_mérleg'!H55</f>
        <v>49095.1</v>
      </c>
      <c r="V35" s="85">
        <v>64114.065000000002</v>
      </c>
      <c r="W35" s="93">
        <v>60760.748</v>
      </c>
      <c r="X35" s="85">
        <v>66172.826000000001</v>
      </c>
      <c r="Y35" s="93">
        <v>66236</v>
      </c>
      <c r="Z35" s="85">
        <v>86788</v>
      </c>
      <c r="AA35" s="93">
        <v>100020.394</v>
      </c>
      <c r="AB35" s="85">
        <v>89807.396999999997</v>
      </c>
      <c r="AC35" s="93">
        <v>83124</v>
      </c>
      <c r="AD35" s="85">
        <v>85070</v>
      </c>
      <c r="AE35" s="93">
        <v>91978</v>
      </c>
      <c r="AF35" s="85">
        <v>91942.433000000005</v>
      </c>
      <c r="AG35" s="93">
        <v>82682.003999999986</v>
      </c>
      <c r="AH35" s="85">
        <v>86755.496000000014</v>
      </c>
      <c r="AI35" s="93">
        <v>98064</v>
      </c>
    </row>
    <row r="36" spans="2:35" ht="15" thickTop="1" x14ac:dyDescent="0.3">
      <c r="D36" s="79"/>
      <c r="E36" s="72"/>
      <c r="F36" s="106"/>
      <c r="G36" s="72"/>
      <c r="H36" s="106"/>
      <c r="I36" s="72"/>
      <c r="J36" s="106"/>
      <c r="K36" s="72"/>
      <c r="L36" s="106"/>
      <c r="M36" s="72"/>
      <c r="N36" s="106"/>
      <c r="O36" s="72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</row>
    <row r="37" spans="2:35" outlineLevel="1" x14ac:dyDescent="0.3">
      <c r="D37" s="79"/>
      <c r="E37" s="72"/>
      <c r="F37" s="106"/>
      <c r="G37" s="72"/>
      <c r="H37" s="106"/>
      <c r="I37" s="72"/>
      <c r="J37" s="106"/>
      <c r="K37" s="72"/>
      <c r="L37" s="106"/>
      <c r="M37" s="72"/>
      <c r="N37" s="106"/>
      <c r="O37" s="72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</row>
    <row r="38" spans="2:35" outlineLevel="1" x14ac:dyDescent="0.3">
      <c r="D38" s="79"/>
      <c r="E38" s="72"/>
      <c r="F38" s="106"/>
      <c r="G38" s="72"/>
      <c r="H38" s="106"/>
      <c r="I38" s="72"/>
      <c r="J38" s="106"/>
      <c r="K38" s="72"/>
      <c r="L38" s="106"/>
      <c r="M38" s="72"/>
      <c r="N38" s="106"/>
      <c r="O38" s="72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</row>
    <row r="39" spans="2:35" outlineLevel="1" x14ac:dyDescent="0.3">
      <c r="B39" s="112" t="s">
        <v>356</v>
      </c>
      <c r="C39" s="112" t="s">
        <v>1</v>
      </c>
      <c r="D39" s="102">
        <v>42825</v>
      </c>
      <c r="E39" s="102">
        <v>42916</v>
      </c>
      <c r="F39" s="102">
        <v>43008</v>
      </c>
      <c r="G39" s="102">
        <v>43100</v>
      </c>
      <c r="H39" s="102">
        <v>43190</v>
      </c>
      <c r="I39" s="102">
        <v>43281</v>
      </c>
      <c r="J39" s="102">
        <v>43373</v>
      </c>
      <c r="K39" s="102">
        <v>43465</v>
      </c>
      <c r="L39" s="102">
        <v>43555</v>
      </c>
      <c r="M39" s="102">
        <v>43646</v>
      </c>
      <c r="N39" s="102">
        <v>43738</v>
      </c>
      <c r="O39" s="102">
        <v>43830</v>
      </c>
      <c r="P39" s="102">
        <v>43921</v>
      </c>
      <c r="Q39" s="102">
        <v>44012</v>
      </c>
      <c r="R39" s="102">
        <v>44104</v>
      </c>
      <c r="S39" s="102">
        <v>44196</v>
      </c>
      <c r="T39" s="102">
        <v>44286</v>
      </c>
      <c r="U39" s="102">
        <v>44377</v>
      </c>
      <c r="V39" s="102">
        <f>+V26</f>
        <v>44469</v>
      </c>
      <c r="W39" s="102">
        <f>+W26</f>
        <v>44561</v>
      </c>
      <c r="X39" s="102">
        <f>+X26</f>
        <v>44651</v>
      </c>
      <c r="Y39" s="102">
        <v>44742</v>
      </c>
      <c r="Z39" s="102">
        <v>44834</v>
      </c>
      <c r="AA39" s="102">
        <f>+AA26</f>
        <v>44926</v>
      </c>
      <c r="AB39" s="102">
        <f>+AB26</f>
        <v>45016</v>
      </c>
      <c r="AC39" s="102">
        <v>45107</v>
      </c>
      <c r="AD39" s="102">
        <f>+AD26</f>
        <v>45199</v>
      </c>
      <c r="AE39" s="102">
        <v>45291</v>
      </c>
      <c r="AF39" s="102">
        <f>+AF26</f>
        <v>45382</v>
      </c>
      <c r="AG39" s="102">
        <f>+AG26</f>
        <v>45473</v>
      </c>
      <c r="AH39" s="102">
        <f>+AH26</f>
        <v>45565</v>
      </c>
      <c r="AI39" s="102">
        <f>+AI26</f>
        <v>45657</v>
      </c>
    </row>
    <row r="40" spans="2:35" ht="15" customHeight="1" outlineLevel="1" thickBot="1" x14ac:dyDescent="0.35">
      <c r="B40" s="112" t="s">
        <v>92</v>
      </c>
      <c r="C40" s="113" t="s">
        <v>126</v>
      </c>
      <c r="D40" s="100" t="s">
        <v>130</v>
      </c>
      <c r="E40" s="100" t="s">
        <v>130</v>
      </c>
      <c r="F40" s="100" t="s">
        <v>130</v>
      </c>
      <c r="G40" s="100" t="s">
        <v>130</v>
      </c>
      <c r="H40" s="100" t="s">
        <v>130</v>
      </c>
      <c r="I40" s="100" t="s">
        <v>130</v>
      </c>
      <c r="J40" s="100" t="s">
        <v>130</v>
      </c>
      <c r="K40" s="100" t="s">
        <v>130</v>
      </c>
      <c r="L40" s="100" t="s">
        <v>130</v>
      </c>
      <c r="M40" s="100" t="s">
        <v>130</v>
      </c>
      <c r="N40" s="100" t="s">
        <v>130</v>
      </c>
      <c r="O40" s="100" t="s">
        <v>280</v>
      </c>
      <c r="P40" s="100" t="s">
        <v>130</v>
      </c>
      <c r="Q40" s="100" t="s">
        <v>130</v>
      </c>
      <c r="R40" s="100" t="s">
        <v>130</v>
      </c>
      <c r="S40" s="100" t="s">
        <v>280</v>
      </c>
      <c r="T40" s="100" t="s">
        <v>130</v>
      </c>
      <c r="U40" s="100" t="s">
        <v>130</v>
      </c>
      <c r="V40" s="100" t="s">
        <v>130</v>
      </c>
      <c r="W40" s="100" t="s">
        <v>130</v>
      </c>
      <c r="X40" s="100" t="s">
        <v>130</v>
      </c>
      <c r="Y40" s="100" t="s">
        <v>130</v>
      </c>
      <c r="Z40" s="100" t="s">
        <v>130</v>
      </c>
      <c r="AA40" s="100" t="s">
        <v>280</v>
      </c>
      <c r="AB40" s="100" t="s">
        <v>130</v>
      </c>
      <c r="AC40" s="100" t="s">
        <v>130</v>
      </c>
      <c r="AD40" s="100" t="s">
        <v>130</v>
      </c>
      <c r="AE40" s="100" t="s">
        <v>280</v>
      </c>
      <c r="AF40" s="100" t="s">
        <v>130</v>
      </c>
      <c r="AG40" s="100" t="s">
        <v>130</v>
      </c>
      <c r="AH40" s="100" t="s">
        <v>130</v>
      </c>
      <c r="AI40" s="100" t="s">
        <v>280</v>
      </c>
    </row>
    <row r="41" spans="2:35" outlineLevel="1" x14ac:dyDescent="0.3">
      <c r="B41" s="154" t="s">
        <v>43</v>
      </c>
      <c r="C41" s="154" t="s">
        <v>44</v>
      </c>
      <c r="D41" s="155">
        <v>4489.1524970000009</v>
      </c>
      <c r="E41" s="156">
        <v>4668.9346690000002</v>
      </c>
      <c r="F41" s="155">
        <v>4778.0686959999994</v>
      </c>
      <c r="G41" s="156">
        <v>5119.4954319999997</v>
      </c>
      <c r="H41" s="155">
        <v>5160.3390290000007</v>
      </c>
      <c r="I41" s="156">
        <v>5104.4388430000008</v>
      </c>
      <c r="J41" s="155">
        <v>5491.4350970000005</v>
      </c>
      <c r="K41" s="156">
        <v>5144.733087999999</v>
      </c>
      <c r="L41" s="155">
        <v>6396.3026549999995</v>
      </c>
      <c r="M41" s="156">
        <v>6310.1572749999987</v>
      </c>
      <c r="N41" s="155">
        <v>6189</v>
      </c>
      <c r="O41" s="156">
        <v>5770</v>
      </c>
      <c r="P41" s="155">
        <v>6301</v>
      </c>
      <c r="Q41" s="156">
        <v>7587</v>
      </c>
      <c r="R41" s="155">
        <v>8690</v>
      </c>
      <c r="S41" s="156">
        <f>+'éves P&amp;L_mérleg'!H31</f>
        <v>8547.6569999999992</v>
      </c>
      <c r="T41" s="155">
        <v>9971.4320000000007</v>
      </c>
      <c r="U41" s="156">
        <f>+'féléves P&amp;L_mérleg'!H61</f>
        <v>14037</v>
      </c>
      <c r="V41" s="155">
        <v>23862.531999999999</v>
      </c>
      <c r="W41" s="156">
        <v>19009.337</v>
      </c>
      <c r="X41" s="155">
        <v>25029.538</v>
      </c>
      <c r="Y41" s="156">
        <v>29257</v>
      </c>
      <c r="Z41" s="155">
        <v>35445.053</v>
      </c>
      <c r="AA41" s="156">
        <v>26687.862000000001</v>
      </c>
      <c r="AB41" s="155">
        <v>30882.899000000001</v>
      </c>
      <c r="AC41" s="156">
        <v>32580</v>
      </c>
      <c r="AD41" s="155">
        <v>34675.317000000003</v>
      </c>
      <c r="AE41" s="156">
        <v>33854</v>
      </c>
      <c r="AF41" s="155">
        <v>37735.603000000003</v>
      </c>
      <c r="AG41" s="156">
        <v>33717.881999999998</v>
      </c>
      <c r="AH41" s="155">
        <v>36583.101999999999</v>
      </c>
      <c r="AI41" s="156">
        <v>39464</v>
      </c>
    </row>
    <row r="42" spans="2:35" ht="15" outlineLevel="1" thickBot="1" x14ac:dyDescent="0.35">
      <c r="B42" s="157" t="s">
        <v>305</v>
      </c>
      <c r="C42" s="158" t="s">
        <v>306</v>
      </c>
      <c r="D42" s="274"/>
      <c r="E42" s="275"/>
      <c r="F42" s="274"/>
      <c r="G42" s="275"/>
      <c r="H42" s="274"/>
      <c r="I42" s="275"/>
      <c r="J42" s="274"/>
      <c r="K42" s="275"/>
      <c r="L42" s="274"/>
      <c r="M42" s="275"/>
      <c r="N42" s="274"/>
      <c r="O42" s="275"/>
      <c r="P42" s="274"/>
      <c r="Q42" s="275"/>
      <c r="R42" s="274"/>
      <c r="S42" s="275"/>
      <c r="T42" s="274"/>
      <c r="U42" s="275"/>
      <c r="V42" s="274"/>
      <c r="W42" s="160">
        <v>5306.4314290000002</v>
      </c>
      <c r="X42" s="159">
        <v>8764.2077090000002</v>
      </c>
      <c r="Y42" s="160">
        <v>9641</v>
      </c>
      <c r="Z42" s="159">
        <v>12639.697081</v>
      </c>
      <c r="AA42" s="160">
        <v>2069.2452630000003</v>
      </c>
      <c r="AB42" s="159">
        <v>541.88190699999996</v>
      </c>
      <c r="AC42" s="160">
        <v>224</v>
      </c>
      <c r="AD42" s="159">
        <v>-106.968324</v>
      </c>
      <c r="AE42" s="160">
        <v>-2389</v>
      </c>
      <c r="AF42" s="159">
        <v>-1132.228173</v>
      </c>
      <c r="AG42" s="160">
        <v>-441.02933200000001</v>
      </c>
      <c r="AH42" s="159">
        <v>-450.93150799999995</v>
      </c>
      <c r="AI42" s="160">
        <v>0</v>
      </c>
    </row>
    <row r="43" spans="2:35" outlineLevel="2" x14ac:dyDescent="0.3">
      <c r="B43" s="299" t="s">
        <v>61</v>
      </c>
      <c r="C43" s="299" t="s">
        <v>62</v>
      </c>
      <c r="D43" s="300">
        <v>6591.7173349999994</v>
      </c>
      <c r="E43" s="301">
        <v>6230.6875429999991</v>
      </c>
      <c r="F43" s="300">
        <v>6572.5368279999984</v>
      </c>
      <c r="G43" s="301">
        <v>6254.7884560000002</v>
      </c>
      <c r="H43" s="300">
        <v>7138.188905</v>
      </c>
      <c r="I43" s="301">
        <v>6529.8529439999993</v>
      </c>
      <c r="J43" s="300">
        <v>8263.0708180000001</v>
      </c>
      <c r="K43" s="301">
        <v>9130.4673749999984</v>
      </c>
      <c r="L43" s="300">
        <v>11483.422210999999</v>
      </c>
      <c r="M43" s="301">
        <v>19876.075740000004</v>
      </c>
      <c r="N43" s="300">
        <v>17492</v>
      </c>
      <c r="O43" s="301">
        <v>21440</v>
      </c>
      <c r="P43" s="300">
        <v>22083</v>
      </c>
      <c r="Q43" s="301">
        <v>22014</v>
      </c>
      <c r="R43" s="300">
        <v>21982</v>
      </c>
      <c r="S43" s="301">
        <f>+'éves P&amp;L_mérleg'!H44</f>
        <v>27905.832999999999</v>
      </c>
      <c r="T43" s="300">
        <v>27134.091</v>
      </c>
      <c r="U43" s="301">
        <f>+'féléves P&amp;L_mérleg'!H73</f>
        <v>24533</v>
      </c>
      <c r="V43" s="300">
        <v>25146.434000000001</v>
      </c>
      <c r="W43" s="301">
        <v>24490.928</v>
      </c>
      <c r="X43" s="300">
        <v>24587.457999999999</v>
      </c>
      <c r="Y43" s="301">
        <v>25069</v>
      </c>
      <c r="Z43" s="300">
        <v>25517.510999999999</v>
      </c>
      <c r="AA43" s="301">
        <v>26716.632000000001</v>
      </c>
      <c r="AB43" s="300">
        <v>29839.67</v>
      </c>
      <c r="AC43" s="301">
        <v>31226</v>
      </c>
      <c r="AD43" s="300">
        <v>31671.173999999999</v>
      </c>
      <c r="AE43" s="301">
        <v>28653</v>
      </c>
      <c r="AF43" s="300">
        <v>27990.348999999998</v>
      </c>
      <c r="AG43" s="301">
        <v>27732.503000000001</v>
      </c>
      <c r="AH43" s="300">
        <v>28060.482</v>
      </c>
      <c r="AI43" s="301">
        <v>27886</v>
      </c>
    </row>
    <row r="44" spans="2:35" s="141" customFormat="1" outlineLevel="2" x14ac:dyDescent="0.3">
      <c r="B44" s="292" t="s">
        <v>305</v>
      </c>
      <c r="C44" s="293" t="s">
        <v>306</v>
      </c>
      <c r="D44" s="290"/>
      <c r="E44" s="294"/>
      <c r="F44" s="290"/>
      <c r="G44" s="294"/>
      <c r="H44" s="290"/>
      <c r="I44" s="294"/>
      <c r="J44" s="290"/>
      <c r="K44" s="294"/>
      <c r="L44" s="290"/>
      <c r="M44" s="294"/>
      <c r="N44" s="290"/>
      <c r="O44" s="294"/>
      <c r="P44" s="290"/>
      <c r="Q44" s="294"/>
      <c r="R44" s="290"/>
      <c r="S44" s="294"/>
      <c r="T44" s="290"/>
      <c r="U44" s="294"/>
      <c r="V44" s="290"/>
      <c r="W44" s="294">
        <v>525</v>
      </c>
      <c r="X44" s="290"/>
      <c r="Y44" s="294">
        <v>953</v>
      </c>
      <c r="Z44" s="290">
        <v>1250.079931</v>
      </c>
      <c r="AA44" s="294">
        <v>204.65063000000001</v>
      </c>
      <c r="AB44" s="290">
        <v>53.592716000000003</v>
      </c>
      <c r="AC44" s="294">
        <v>22</v>
      </c>
      <c r="AD44" s="290">
        <v>54.722223999999997</v>
      </c>
      <c r="AE44" s="294">
        <v>127</v>
      </c>
      <c r="AF44" s="290">
        <v>0</v>
      </c>
      <c r="AG44" s="294">
        <v>1079.8750210000001</v>
      </c>
      <c r="AH44" s="290">
        <v>871.45983999999999</v>
      </c>
      <c r="AI44" s="294">
        <v>0</v>
      </c>
    </row>
    <row r="45" spans="2:35" s="141" customFormat="1" outlineLevel="2" x14ac:dyDescent="0.3">
      <c r="B45" s="292" t="s">
        <v>206</v>
      </c>
      <c r="C45" s="293" t="s">
        <v>207</v>
      </c>
      <c r="D45" s="290"/>
      <c r="E45" s="294"/>
      <c r="F45" s="290"/>
      <c r="G45" s="294"/>
      <c r="H45" s="290"/>
      <c r="I45" s="294"/>
      <c r="J45" s="290"/>
      <c r="K45" s="294">
        <v>8165</v>
      </c>
      <c r="L45" s="290">
        <v>10386</v>
      </c>
      <c r="M45" s="294">
        <v>18308</v>
      </c>
      <c r="N45" s="290">
        <v>15926</v>
      </c>
      <c r="O45" s="294">
        <v>19413</v>
      </c>
      <c r="P45" s="290">
        <v>19883</v>
      </c>
      <c r="Q45" s="294">
        <v>19904</v>
      </c>
      <c r="R45" s="290">
        <v>19044</v>
      </c>
      <c r="S45" s="294">
        <f>+'éves P&amp;L_mérleg'!H45+'éves P&amp;L_mérleg'!H46+'éves P&amp;L_mérleg'!H47</f>
        <v>24347.803</v>
      </c>
      <c r="T45" s="290">
        <v>24186.687999999998</v>
      </c>
      <c r="U45" s="294">
        <f>+'féléves P&amp;L_mérleg'!H74+'féléves P&amp;L_mérleg'!H75+'féléves P&amp;L_mérleg'!H76</f>
        <v>21533</v>
      </c>
      <c r="V45" s="290">
        <v>21151.717000000001</v>
      </c>
      <c r="W45" s="294">
        <v>20929.076000000001</v>
      </c>
      <c r="X45" s="290">
        <v>20793.625</v>
      </c>
      <c r="Y45" s="294">
        <v>20748</v>
      </c>
      <c r="Z45" s="290">
        <v>20578.249</v>
      </c>
      <c r="AA45" s="294">
        <v>21177</v>
      </c>
      <c r="AB45" s="290">
        <v>24209.893</v>
      </c>
      <c r="AC45" s="294">
        <v>25342</v>
      </c>
      <c r="AD45" s="290">
        <v>25757.447</v>
      </c>
      <c r="AE45" s="294">
        <v>24398.2</v>
      </c>
      <c r="AF45" s="290">
        <v>24138.687999999998</v>
      </c>
      <c r="AG45" s="294">
        <v>23908.326000000001</v>
      </c>
      <c r="AH45" s="290">
        <v>23767.932000000001</v>
      </c>
      <c r="AI45" s="294">
        <v>22978</v>
      </c>
    </row>
    <row r="46" spans="2:35" s="141" customFormat="1" ht="15" outlineLevel="2" thickBot="1" x14ac:dyDescent="0.35">
      <c r="B46" s="302" t="s">
        <v>333</v>
      </c>
      <c r="C46" s="303" t="s">
        <v>334</v>
      </c>
      <c r="D46" s="290"/>
      <c r="E46" s="294"/>
      <c r="F46" s="290"/>
      <c r="G46" s="294"/>
      <c r="H46" s="290"/>
      <c r="I46" s="294"/>
      <c r="J46" s="290"/>
      <c r="K46" s="294"/>
      <c r="L46" s="290"/>
      <c r="M46" s="294"/>
      <c r="N46" s="290"/>
      <c r="O46" s="294"/>
      <c r="P46" s="290"/>
      <c r="Q46" s="294"/>
      <c r="R46" s="290"/>
      <c r="S46" s="294"/>
      <c r="T46" s="290"/>
      <c r="U46" s="294"/>
      <c r="V46" s="290"/>
      <c r="W46" s="294"/>
      <c r="X46" s="290"/>
      <c r="Y46" s="294"/>
      <c r="Z46" s="290"/>
      <c r="AA46" s="294">
        <v>5334.9813700000013</v>
      </c>
      <c r="AB46" s="290"/>
      <c r="AC46" s="294">
        <v>5862</v>
      </c>
      <c r="AD46" s="290">
        <v>5859.0047759999979</v>
      </c>
      <c r="AE46" s="294">
        <v>4255</v>
      </c>
      <c r="AF46" s="290">
        <v>3851.6610000000001</v>
      </c>
      <c r="AG46" s="294">
        <v>2744.3019789999998</v>
      </c>
      <c r="AH46" s="290">
        <v>3421.0901599999997</v>
      </c>
      <c r="AI46" s="294">
        <v>4908</v>
      </c>
    </row>
    <row r="47" spans="2:35" outlineLevel="2" x14ac:dyDescent="0.3">
      <c r="B47" s="299" t="s">
        <v>76</v>
      </c>
      <c r="C47" s="299" t="s">
        <v>77</v>
      </c>
      <c r="D47" s="304">
        <v>4489.968535</v>
      </c>
      <c r="E47" s="305">
        <v>3920.2216930000004</v>
      </c>
      <c r="F47" s="304">
        <v>3405.5251139999996</v>
      </c>
      <c r="G47" s="305">
        <v>5220.7135070000004</v>
      </c>
      <c r="H47" s="304">
        <v>4594.9061179999999</v>
      </c>
      <c r="I47" s="305">
        <v>4292.730325999999</v>
      </c>
      <c r="J47" s="304">
        <v>5903.6063940000004</v>
      </c>
      <c r="K47" s="305">
        <v>8583.8976410000014</v>
      </c>
      <c r="L47" s="304">
        <v>7905.8752260000001</v>
      </c>
      <c r="M47" s="305">
        <v>7025.2305310000011</v>
      </c>
      <c r="N47" s="304">
        <v>9498</v>
      </c>
      <c r="O47" s="305">
        <v>10466</v>
      </c>
      <c r="P47" s="304">
        <v>11222</v>
      </c>
      <c r="Q47" s="305">
        <v>8237</v>
      </c>
      <c r="R47" s="304">
        <v>6515</v>
      </c>
      <c r="S47" s="305">
        <f>+'éves P&amp;L_mérleg'!H53</f>
        <v>8430.7999999999993</v>
      </c>
      <c r="T47" s="304">
        <v>8127.4359999999997</v>
      </c>
      <c r="U47" s="305">
        <f>+'féléves P&amp;L_mérleg'!H82</f>
        <v>10525</v>
      </c>
      <c r="V47" s="304">
        <v>15105.099</v>
      </c>
      <c r="W47" s="305">
        <v>17260.483</v>
      </c>
      <c r="X47" s="304">
        <v>16555.830000000002</v>
      </c>
      <c r="Y47" s="305">
        <v>11910</v>
      </c>
      <c r="Z47" s="304">
        <v>25825.511999999999</v>
      </c>
      <c r="AA47" s="305">
        <v>46615.9</v>
      </c>
      <c r="AB47" s="304">
        <v>29084.828000000001</v>
      </c>
      <c r="AC47" s="305">
        <v>19318</v>
      </c>
      <c r="AD47" s="304">
        <v>18723.581999999999</v>
      </c>
      <c r="AE47" s="305">
        <v>29470</v>
      </c>
      <c r="AF47" s="304">
        <v>26216.481</v>
      </c>
      <c r="AG47" s="305">
        <v>21231.618999999999</v>
      </c>
      <c r="AH47" s="304">
        <v>22111.912</v>
      </c>
      <c r="AI47" s="305">
        <v>30714</v>
      </c>
    </row>
    <row r="48" spans="2:35" outlineLevel="2" x14ac:dyDescent="0.3">
      <c r="B48" s="292" t="s">
        <v>305</v>
      </c>
      <c r="C48" s="293" t="s">
        <v>306</v>
      </c>
      <c r="D48" s="285"/>
      <c r="E48" s="286"/>
      <c r="F48" s="285"/>
      <c r="G48" s="286"/>
      <c r="H48" s="285"/>
      <c r="I48" s="286"/>
      <c r="J48" s="285"/>
      <c r="K48" s="286"/>
      <c r="L48" s="285"/>
      <c r="M48" s="286"/>
      <c r="N48" s="285"/>
      <c r="O48" s="286"/>
      <c r="P48" s="285"/>
      <c r="Q48" s="286"/>
      <c r="R48" s="285"/>
      <c r="S48" s="286"/>
      <c r="T48" s="285"/>
      <c r="U48" s="286"/>
      <c r="V48" s="285"/>
      <c r="W48" s="286"/>
      <c r="X48" s="285"/>
      <c r="Y48" s="286"/>
      <c r="Z48" s="285"/>
      <c r="AA48" s="287">
        <v>324.15987199999995</v>
      </c>
      <c r="AB48" s="357">
        <v>837.23086999999998</v>
      </c>
      <c r="AC48" s="287">
        <v>1787</v>
      </c>
      <c r="AD48" s="357">
        <v>1230.5420060000001</v>
      </c>
      <c r="AE48" s="287">
        <v>3266</v>
      </c>
      <c r="AF48" s="285">
        <v>1955.3159350000001</v>
      </c>
      <c r="AG48" s="287">
        <v>0</v>
      </c>
      <c r="AH48" s="357">
        <v>0</v>
      </c>
      <c r="AI48" s="287">
        <v>0</v>
      </c>
    </row>
    <row r="49" spans="2:35" s="141" customFormat="1" outlineLevel="2" x14ac:dyDescent="0.3">
      <c r="B49" s="292" t="s">
        <v>206</v>
      </c>
      <c r="C49" s="293" t="s">
        <v>207</v>
      </c>
      <c r="D49" s="291"/>
      <c r="E49" s="306"/>
      <c r="F49" s="291"/>
      <c r="G49" s="306"/>
      <c r="H49" s="291"/>
      <c r="I49" s="306"/>
      <c r="J49" s="291"/>
      <c r="K49" s="306">
        <v>1597</v>
      </c>
      <c r="L49" s="291">
        <v>1578</v>
      </c>
      <c r="M49" s="306">
        <v>1775</v>
      </c>
      <c r="N49" s="291">
        <v>3853</v>
      </c>
      <c r="O49" s="306">
        <v>3011</v>
      </c>
      <c r="P49" s="291">
        <v>2656</v>
      </c>
      <c r="Q49" s="306">
        <v>2862</v>
      </c>
      <c r="R49" s="291">
        <v>436</v>
      </c>
      <c r="S49" s="306">
        <f>+'éves P&amp;L_mérleg'!H54+'éves P&amp;L_mérleg'!H55+'éves P&amp;L_mérleg'!H56</f>
        <v>1084.605</v>
      </c>
      <c r="T49" s="291">
        <v>1100.3910000000001</v>
      </c>
      <c r="U49" s="306">
        <f>+'féléves P&amp;L_mérleg'!H83+'féléves P&amp;L_mérleg'!H84+'féléves P&amp;L_mérleg'!H85</f>
        <v>3417</v>
      </c>
      <c r="V49" s="291">
        <v>4050.5189999999998</v>
      </c>
      <c r="W49" s="306">
        <v>2969.66</v>
      </c>
      <c r="X49" s="291">
        <v>2342.627</v>
      </c>
      <c r="Y49" s="306">
        <v>684</v>
      </c>
      <c r="Z49" s="291">
        <v>694.678</v>
      </c>
      <c r="AA49" s="306">
        <v>7577.3320000000003</v>
      </c>
      <c r="AB49" s="291">
        <v>2430.415</v>
      </c>
      <c r="AC49" s="306">
        <v>1836</v>
      </c>
      <c r="AD49" s="291">
        <v>2151.998</v>
      </c>
      <c r="AE49" s="306">
        <v>2234</v>
      </c>
      <c r="AF49" s="291">
        <v>2218.846</v>
      </c>
      <c r="AG49" s="306">
        <v>2202.8319999999999</v>
      </c>
      <c r="AH49" s="291">
        <v>1903.82</v>
      </c>
      <c r="AI49" s="306">
        <v>1449</v>
      </c>
    </row>
    <row r="50" spans="2:35" s="141" customFormat="1" outlineLevel="2" x14ac:dyDescent="0.3">
      <c r="B50" s="292" t="s">
        <v>335</v>
      </c>
      <c r="C50" s="293" t="s">
        <v>337</v>
      </c>
      <c r="D50" s="291"/>
      <c r="E50" s="306"/>
      <c r="F50" s="291"/>
      <c r="G50" s="306"/>
      <c r="H50" s="291"/>
      <c r="I50" s="306"/>
      <c r="J50" s="291"/>
      <c r="K50" s="306"/>
      <c r="L50" s="291"/>
      <c r="M50" s="306"/>
      <c r="N50" s="291"/>
      <c r="O50" s="306"/>
      <c r="P50" s="291"/>
      <c r="Q50" s="306"/>
      <c r="R50" s="291"/>
      <c r="S50" s="306"/>
      <c r="T50" s="291"/>
      <c r="U50" s="306"/>
      <c r="V50" s="291"/>
      <c r="W50" s="306"/>
      <c r="X50" s="291"/>
      <c r="Y50" s="306"/>
      <c r="Z50" s="291"/>
      <c r="AA50" s="306">
        <v>27270.597054999998</v>
      </c>
      <c r="AB50" s="291"/>
      <c r="AC50" s="306">
        <v>8718</v>
      </c>
      <c r="AD50" s="291">
        <v>8976.1248469999991</v>
      </c>
      <c r="AE50" s="306">
        <v>16101</v>
      </c>
      <c r="AF50" s="291">
        <v>15937.962398</v>
      </c>
      <c r="AG50" s="306">
        <v>12424.127947999998</v>
      </c>
      <c r="AH50" s="291">
        <v>13271.955049</v>
      </c>
      <c r="AI50" s="306">
        <v>25884</v>
      </c>
    </row>
    <row r="51" spans="2:35" s="141" customFormat="1" ht="15" outlineLevel="2" thickBot="1" x14ac:dyDescent="0.35">
      <c r="B51" s="295" t="s">
        <v>336</v>
      </c>
      <c r="C51" s="296" t="s">
        <v>338</v>
      </c>
      <c r="D51" s="297"/>
      <c r="E51" s="298"/>
      <c r="F51" s="297"/>
      <c r="G51" s="298"/>
      <c r="H51" s="297"/>
      <c r="I51" s="298"/>
      <c r="J51" s="297"/>
      <c r="K51" s="298"/>
      <c r="L51" s="297"/>
      <c r="M51" s="298"/>
      <c r="N51" s="297"/>
      <c r="O51" s="298"/>
      <c r="P51" s="297"/>
      <c r="Q51" s="298"/>
      <c r="R51" s="297"/>
      <c r="S51" s="298"/>
      <c r="T51" s="297"/>
      <c r="U51" s="298"/>
      <c r="V51" s="297"/>
      <c r="W51" s="298"/>
      <c r="X51" s="297"/>
      <c r="Y51" s="298"/>
      <c r="Z51" s="297"/>
      <c r="AA51" s="298">
        <v>11443.811073000004</v>
      </c>
      <c r="AB51" s="297"/>
      <c r="AC51" s="298">
        <v>6977</v>
      </c>
      <c r="AD51" s="297">
        <v>6364.9171470000001</v>
      </c>
      <c r="AE51" s="298">
        <v>7869</v>
      </c>
      <c r="AF51" s="297">
        <v>6104.356667</v>
      </c>
      <c r="AG51" s="298">
        <v>6604.6590520000009</v>
      </c>
      <c r="AH51" s="297">
        <v>6936.1369510000004</v>
      </c>
      <c r="AI51" s="298">
        <v>3381</v>
      </c>
    </row>
    <row r="52" spans="2:35" ht="30" outlineLevel="2" thickTop="1" thickBot="1" x14ac:dyDescent="0.35">
      <c r="B52" s="65" t="s">
        <v>90</v>
      </c>
      <c r="C52" s="65" t="s">
        <v>91</v>
      </c>
      <c r="D52" s="85">
        <f t="shared" ref="D52:M52" si="4">D47+D43+D41</f>
        <v>15570.838367</v>
      </c>
      <c r="E52" s="93">
        <f t="shared" si="4"/>
        <v>14819.843905</v>
      </c>
      <c r="F52" s="85">
        <f t="shared" si="4"/>
        <v>14756.130637999999</v>
      </c>
      <c r="G52" s="93">
        <f t="shared" si="4"/>
        <v>16594.997394999999</v>
      </c>
      <c r="H52" s="85">
        <f t="shared" si="4"/>
        <v>16893.434052000001</v>
      </c>
      <c r="I52" s="93">
        <f t="shared" si="4"/>
        <v>15927.022112999999</v>
      </c>
      <c r="J52" s="85">
        <f t="shared" si="4"/>
        <v>19658.112309</v>
      </c>
      <c r="K52" s="93">
        <f t="shared" si="4"/>
        <v>22859.098103999997</v>
      </c>
      <c r="L52" s="85">
        <f t="shared" si="4"/>
        <v>25785.600092000001</v>
      </c>
      <c r="M52" s="93">
        <f t="shared" si="4"/>
        <v>33211.463546000006</v>
      </c>
      <c r="N52" s="85">
        <v>33179</v>
      </c>
      <c r="O52" s="93">
        <v>37676</v>
      </c>
      <c r="P52" s="85">
        <v>39606</v>
      </c>
      <c r="Q52" s="93">
        <v>37838</v>
      </c>
      <c r="R52" s="85">
        <v>37187</v>
      </c>
      <c r="S52" s="93">
        <f>+'éves P&amp;L_mérleg'!H65</f>
        <v>44884.29</v>
      </c>
      <c r="T52" s="85">
        <f>+T35</f>
        <v>45233</v>
      </c>
      <c r="U52" s="93">
        <f>+'féléves P&amp;L_mérleg'!H92</f>
        <v>49095</v>
      </c>
      <c r="V52" s="85">
        <v>64114.065000000002</v>
      </c>
      <c r="W52" s="93">
        <v>60760.748</v>
      </c>
      <c r="X52" s="85">
        <v>66172.826000000001</v>
      </c>
      <c r="Y52" s="93">
        <v>66236</v>
      </c>
      <c r="Z52" s="85">
        <v>86788.076000000001</v>
      </c>
      <c r="AA52" s="93">
        <v>100020.394</v>
      </c>
      <c r="AB52" s="85">
        <v>89807.396999999997</v>
      </c>
      <c r="AC52" s="93">
        <v>83124</v>
      </c>
      <c r="AD52" s="85">
        <v>85070.073000000004</v>
      </c>
      <c r="AE52" s="93">
        <v>91978</v>
      </c>
      <c r="AF52" s="85">
        <v>91942.433000000005</v>
      </c>
      <c r="AG52" s="93">
        <v>82682.003999999986</v>
      </c>
      <c r="AH52" s="85">
        <v>86755.495999999999</v>
      </c>
      <c r="AI52" s="93">
        <v>98064</v>
      </c>
    </row>
    <row r="53" spans="2:35" s="56" customFormat="1" ht="15" outlineLevel="1" thickTop="1" x14ac:dyDescent="0.3"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2:35" outlineLevel="1" x14ac:dyDescent="0.3"/>
  </sheetData>
  <phoneticPr fontId="2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3099-6104-405C-9264-BF3D4A3D49FE}">
  <sheetPr codeName="Munka4"/>
  <dimension ref="B2:M25"/>
  <sheetViews>
    <sheetView workbookViewId="0">
      <selection activeCell="D12" sqref="A12:D12"/>
    </sheetView>
  </sheetViews>
  <sheetFormatPr defaultColWidth="8.77734375" defaultRowHeight="14.4" x14ac:dyDescent="0.3"/>
  <cols>
    <col min="2" max="3" width="37.44140625" customWidth="1"/>
    <col min="4" max="4" width="17.33203125" customWidth="1"/>
    <col min="5" max="5" width="11.44140625" customWidth="1"/>
    <col min="6" max="7" width="11.33203125" customWidth="1"/>
    <col min="8" max="8" width="10.6640625" customWidth="1"/>
    <col min="10" max="10" width="33.44140625" customWidth="1"/>
  </cols>
  <sheetData>
    <row r="2" spans="2:12" ht="15" thickBot="1" x14ac:dyDescent="0.35"/>
    <row r="3" spans="2:12" x14ac:dyDescent="0.3">
      <c r="D3" s="31">
        <v>43830</v>
      </c>
      <c r="E3" s="32">
        <v>43465</v>
      </c>
      <c r="F3" s="31">
        <v>43100</v>
      </c>
      <c r="G3" s="32">
        <v>42735</v>
      </c>
      <c r="H3" s="33" t="s">
        <v>141</v>
      </c>
    </row>
    <row r="4" spans="2:12" ht="27.6" x14ac:dyDescent="0.3">
      <c r="B4" s="34" t="s">
        <v>151</v>
      </c>
      <c r="C4" s="34"/>
      <c r="D4" s="36" t="s">
        <v>142</v>
      </c>
      <c r="E4" s="36" t="s">
        <v>142</v>
      </c>
      <c r="F4" s="35" t="s">
        <v>142</v>
      </c>
      <c r="G4" s="36" t="s">
        <v>142</v>
      </c>
      <c r="H4" s="37" t="s">
        <v>164</v>
      </c>
    </row>
    <row r="5" spans="2:12" ht="27.6" x14ac:dyDescent="0.3">
      <c r="B5" s="38" t="s">
        <v>143</v>
      </c>
      <c r="C5" s="42" t="s">
        <v>153</v>
      </c>
      <c r="D5" s="42"/>
      <c r="E5" s="40">
        <v>10230.591</v>
      </c>
      <c r="F5" s="39">
        <v>9557.5337209999998</v>
      </c>
      <c r="G5" s="40">
        <v>8291.0161179999996</v>
      </c>
      <c r="H5" s="41">
        <f>E5/F5-1</f>
        <v>7.0421648371602918E-2</v>
      </c>
      <c r="K5" s="42"/>
      <c r="L5" s="50"/>
    </row>
    <row r="6" spans="2:12" ht="27.6" x14ac:dyDescent="0.3">
      <c r="B6" s="42" t="s">
        <v>144</v>
      </c>
      <c r="C6" s="42" t="s">
        <v>154</v>
      </c>
      <c r="D6" s="42"/>
      <c r="E6" s="29">
        <v>626.95699999999999</v>
      </c>
      <c r="F6" s="43">
        <v>837.77375500000005</v>
      </c>
      <c r="G6" s="29">
        <v>1015.4943420000001</v>
      </c>
      <c r="H6" s="44">
        <f t="shared" ref="H6:H25" si="0">E6/F6-1</f>
        <v>-0.25163924477438426</v>
      </c>
      <c r="K6" s="42"/>
      <c r="L6" s="50"/>
    </row>
    <row r="7" spans="2:12" x14ac:dyDescent="0.3">
      <c r="B7" s="42" t="s">
        <v>145</v>
      </c>
      <c r="C7" s="42" t="s">
        <v>155</v>
      </c>
      <c r="D7" s="42"/>
      <c r="E7" s="29">
        <v>7581.6869999999999</v>
      </c>
      <c r="F7" s="43">
        <v>6216.3799730000001</v>
      </c>
      <c r="G7" s="29">
        <v>3897.1971610000001</v>
      </c>
      <c r="H7" s="44">
        <f t="shared" si="0"/>
        <v>0.21963056198784914</v>
      </c>
      <c r="K7" s="42"/>
      <c r="L7" s="50"/>
    </row>
    <row r="8" spans="2:12" x14ac:dyDescent="0.3">
      <c r="B8" s="42" t="s">
        <v>146</v>
      </c>
      <c r="C8" s="42" t="s">
        <v>156</v>
      </c>
      <c r="D8" s="42"/>
      <c r="E8" s="29">
        <v>6943.4889999999996</v>
      </c>
      <c r="F8" s="43">
        <v>5120.8255200000003</v>
      </c>
      <c r="G8" s="29">
        <v>3091.856252</v>
      </c>
      <c r="H8" s="44">
        <f t="shared" si="0"/>
        <v>0.35593157253285979</v>
      </c>
      <c r="K8" s="42"/>
      <c r="L8" s="50"/>
    </row>
    <row r="9" spans="2:12" x14ac:dyDescent="0.3">
      <c r="B9" s="42" t="s">
        <v>147</v>
      </c>
      <c r="C9" s="42" t="s">
        <v>157</v>
      </c>
      <c r="D9" s="42"/>
      <c r="E9" s="29">
        <v>346.96300000000002</v>
      </c>
      <c r="F9" s="43">
        <v>346</v>
      </c>
      <c r="G9" s="29">
        <v>729.72434799999996</v>
      </c>
      <c r="H9" s="44">
        <f t="shared" si="0"/>
        <v>2.7832369942197843E-3</v>
      </c>
      <c r="K9" s="42"/>
      <c r="L9" s="50"/>
    </row>
    <row r="10" spans="2:12" ht="15" thickBot="1" x14ac:dyDescent="0.35">
      <c r="B10" s="42" t="s">
        <v>148</v>
      </c>
      <c r="C10" s="42"/>
      <c r="D10" s="42"/>
      <c r="E10" s="29">
        <f>+'éves P&amp;L_mérleg'!F70-SUM(szegmensek!E5:E9)</f>
        <v>-7043.9200000000019</v>
      </c>
      <c r="F10" s="43">
        <f>-3670-20</f>
        <v>-3690</v>
      </c>
      <c r="G10" s="29">
        <v>-3077.0695139999998</v>
      </c>
      <c r="H10" s="44">
        <f t="shared" si="0"/>
        <v>0.9089214092140927</v>
      </c>
    </row>
    <row r="11" spans="2:12" ht="15" thickBot="1" x14ac:dyDescent="0.35">
      <c r="B11" s="45" t="s">
        <v>149</v>
      </c>
      <c r="C11" s="45"/>
      <c r="D11" s="45"/>
      <c r="E11" s="47">
        <f>+SUM(E5:E10)</f>
        <v>18685.767</v>
      </c>
      <c r="F11" s="46">
        <f>+SUM(F5:F10)</f>
        <v>18388.512969000003</v>
      </c>
      <c r="G11" s="47">
        <f>+SUM(G5:G10)</f>
        <v>13948.218707</v>
      </c>
      <c r="H11" s="48">
        <f t="shared" ref="H11" si="1">F11/G11-1</f>
        <v>0.31834131334430649</v>
      </c>
    </row>
    <row r="12" spans="2:12" ht="27.6" x14ac:dyDescent="0.3">
      <c r="B12" s="42" t="s">
        <v>143</v>
      </c>
      <c r="C12" s="42"/>
      <c r="D12" s="42"/>
      <c r="E12" s="29">
        <f>-8697-30-426</f>
        <v>-9153</v>
      </c>
      <c r="F12" s="43">
        <f>-8660-1+217</f>
        <v>-8444</v>
      </c>
      <c r="G12" s="29">
        <v>-6694.334866000002</v>
      </c>
      <c r="H12" s="44">
        <f t="shared" si="0"/>
        <v>8.3964945523448575E-2</v>
      </c>
    </row>
    <row r="13" spans="2:12" ht="27.6" x14ac:dyDescent="0.3">
      <c r="B13" s="42" t="s">
        <v>144</v>
      </c>
      <c r="C13" s="42"/>
      <c r="D13" s="42"/>
      <c r="E13" s="29">
        <f>-164-73+43</f>
        <v>-194</v>
      </c>
      <c r="F13" s="43">
        <f>-221-97+38</f>
        <v>-280</v>
      </c>
      <c r="G13" s="29">
        <v>-302.82872500000002</v>
      </c>
      <c r="H13" s="44">
        <f t="shared" si="0"/>
        <v>-0.30714285714285716</v>
      </c>
    </row>
    <row r="14" spans="2:12" x14ac:dyDescent="0.3">
      <c r="B14" s="42" t="s">
        <v>145</v>
      </c>
      <c r="C14" s="42"/>
      <c r="D14" s="42"/>
      <c r="E14" s="29">
        <f>-4927-1611+213</f>
        <v>-6325</v>
      </c>
      <c r="F14" s="43">
        <f>-3759-1345+55</f>
        <v>-5049</v>
      </c>
      <c r="G14" s="29">
        <v>-3133.6149570000002</v>
      </c>
      <c r="H14" s="44">
        <f t="shared" si="0"/>
        <v>0.25272331154684102</v>
      </c>
    </row>
    <row r="15" spans="2:12" x14ac:dyDescent="0.3">
      <c r="B15" s="42" t="s">
        <v>146</v>
      </c>
      <c r="C15" s="42"/>
      <c r="D15" s="42"/>
      <c r="E15" s="29">
        <f>-6626-53+18</f>
        <v>-6661</v>
      </c>
      <c r="F15" s="43">
        <f>-5217-47+2</f>
        <v>-5262</v>
      </c>
      <c r="G15" s="29">
        <v>-2966.2490310000003</v>
      </c>
      <c r="H15" s="44">
        <f t="shared" si="0"/>
        <v>0.2658684910680349</v>
      </c>
    </row>
    <row r="16" spans="2:12" x14ac:dyDescent="0.3">
      <c r="B16" s="42" t="s">
        <v>147</v>
      </c>
      <c r="C16" s="42"/>
      <c r="D16" s="42"/>
      <c r="E16" s="29">
        <f>-545-800-10</f>
        <v>-1355</v>
      </c>
      <c r="F16" s="43">
        <f>-407-681+9</f>
        <v>-1079</v>
      </c>
      <c r="G16" s="29">
        <v>-1614.6495629999999</v>
      </c>
      <c r="H16" s="44">
        <f t="shared" si="0"/>
        <v>0.25579240037071371</v>
      </c>
    </row>
    <row r="17" spans="2:13" ht="15" thickBot="1" x14ac:dyDescent="0.35">
      <c r="B17" s="42" t="s">
        <v>148</v>
      </c>
      <c r="C17" s="42"/>
      <c r="D17" s="42"/>
      <c r="E17" s="29">
        <f>-E10-241</f>
        <v>6802.9200000000019</v>
      </c>
      <c r="F17" s="43">
        <f>-F10-13</f>
        <v>3677</v>
      </c>
      <c r="G17" s="29">
        <v>3077.0445830000003</v>
      </c>
      <c r="H17" s="44">
        <f t="shared" si="0"/>
        <v>0.85012782159369094</v>
      </c>
    </row>
    <row r="18" spans="2:13" ht="15" thickBot="1" x14ac:dyDescent="0.35">
      <c r="B18" s="45" t="s">
        <v>150</v>
      </c>
      <c r="C18" s="45"/>
      <c r="D18" s="45"/>
      <c r="E18" s="47">
        <f>+SUM(E12:E17)</f>
        <v>-16885.079999999998</v>
      </c>
      <c r="F18" s="46">
        <f>+SUM(F12:F17)</f>
        <v>-16437</v>
      </c>
      <c r="G18" s="47">
        <f>+SUM(G12:G17)</f>
        <v>-11634.632559</v>
      </c>
      <c r="H18" s="48">
        <f t="shared" si="0"/>
        <v>2.7260448987041386E-2</v>
      </c>
    </row>
    <row r="19" spans="2:13" ht="27.6" x14ac:dyDescent="0.3">
      <c r="B19" s="42" t="s">
        <v>143</v>
      </c>
      <c r="C19" s="42" t="s">
        <v>153</v>
      </c>
      <c r="D19" s="42"/>
      <c r="E19" s="29">
        <f t="shared" ref="E19:G24" si="2">+E5+E12</f>
        <v>1077.5910000000003</v>
      </c>
      <c r="F19" s="43">
        <f>+F5+F12</f>
        <v>1113.5337209999998</v>
      </c>
      <c r="G19" s="29">
        <f t="shared" si="2"/>
        <v>1596.6812519999976</v>
      </c>
      <c r="H19" s="44">
        <f t="shared" si="0"/>
        <v>-3.2278071442435885E-2</v>
      </c>
      <c r="L19" s="29"/>
      <c r="M19" s="50"/>
    </row>
    <row r="20" spans="2:13" ht="27.6" x14ac:dyDescent="0.3">
      <c r="B20" s="42" t="s">
        <v>144</v>
      </c>
      <c r="C20" s="42" t="s">
        <v>154</v>
      </c>
      <c r="D20" s="42"/>
      <c r="E20" s="29">
        <f t="shared" si="2"/>
        <v>432.95699999999999</v>
      </c>
      <c r="F20" s="43">
        <f t="shared" ref="F20:F24" si="3">+F6+F13</f>
        <v>557.77375500000005</v>
      </c>
      <c r="G20" s="29">
        <f t="shared" si="2"/>
        <v>712.66561700000011</v>
      </c>
      <c r="H20" s="44">
        <f t="shared" si="0"/>
        <v>-0.22377667267618218</v>
      </c>
      <c r="L20" s="29"/>
      <c r="M20" s="50"/>
    </row>
    <row r="21" spans="2:13" x14ac:dyDescent="0.3">
      <c r="B21" s="42" t="s">
        <v>145</v>
      </c>
      <c r="C21" s="42" t="s">
        <v>155</v>
      </c>
      <c r="D21" s="42"/>
      <c r="E21" s="29">
        <f t="shared" si="2"/>
        <v>1256.6869999999999</v>
      </c>
      <c r="F21" s="43">
        <f t="shared" si="3"/>
        <v>1167.3799730000001</v>
      </c>
      <c r="G21" s="29">
        <f t="shared" si="2"/>
        <v>763.58220399999982</v>
      </c>
      <c r="H21" s="44">
        <f t="shared" si="0"/>
        <v>7.6502106482513543E-2</v>
      </c>
      <c r="L21" s="29"/>
      <c r="M21" s="50"/>
    </row>
    <row r="22" spans="2:13" x14ac:dyDescent="0.3">
      <c r="B22" s="42" t="s">
        <v>146</v>
      </c>
      <c r="C22" s="42" t="s">
        <v>156</v>
      </c>
      <c r="D22" s="42"/>
      <c r="E22" s="29">
        <f t="shared" si="2"/>
        <v>282.48899999999958</v>
      </c>
      <c r="F22" s="43">
        <f t="shared" si="3"/>
        <v>-141.17447999999968</v>
      </c>
      <c r="G22" s="29">
        <f t="shared" si="2"/>
        <v>125.60722099999975</v>
      </c>
      <c r="H22" s="44">
        <f t="shared" si="0"/>
        <v>-3.000991963986694</v>
      </c>
      <c r="L22" s="29"/>
      <c r="M22" s="50"/>
    </row>
    <row r="23" spans="2:13" x14ac:dyDescent="0.3">
      <c r="B23" s="42" t="s">
        <v>147</v>
      </c>
      <c r="C23" s="42" t="s">
        <v>157</v>
      </c>
      <c r="D23" s="42"/>
      <c r="E23" s="29">
        <f t="shared" si="2"/>
        <v>-1008.037</v>
      </c>
      <c r="F23" s="43">
        <f t="shared" si="3"/>
        <v>-733</v>
      </c>
      <c r="G23" s="29">
        <f t="shared" si="2"/>
        <v>-884.92521499999998</v>
      </c>
      <c r="H23" s="44">
        <f t="shared" si="0"/>
        <v>0.37522100954979543</v>
      </c>
      <c r="L23" s="29"/>
      <c r="M23" s="50"/>
    </row>
    <row r="24" spans="2:13" ht="15" thickBot="1" x14ac:dyDescent="0.35">
      <c r="B24" s="42" t="s">
        <v>148</v>
      </c>
      <c r="C24" s="42"/>
      <c r="D24" s="42"/>
      <c r="E24" s="29">
        <f t="shared" si="2"/>
        <v>-241</v>
      </c>
      <c r="F24" s="43">
        <f t="shared" si="3"/>
        <v>-13</v>
      </c>
      <c r="G24" s="29">
        <f t="shared" si="2"/>
        <v>-2.493099999946935E-2</v>
      </c>
      <c r="H24" s="44"/>
      <c r="L24" s="29"/>
      <c r="M24" s="50"/>
    </row>
    <row r="25" spans="2:13" ht="15" thickBot="1" x14ac:dyDescent="0.35">
      <c r="B25" s="45" t="s">
        <v>101</v>
      </c>
      <c r="C25" s="45"/>
      <c r="D25" s="45"/>
      <c r="E25" s="47">
        <f>+SUM(E19:E24)</f>
        <v>1800.6869999999997</v>
      </c>
      <c r="F25" s="46">
        <f>+SUM(F19:F24)</f>
        <v>1951.5129690000003</v>
      </c>
      <c r="G25" s="47">
        <f>+SUM(G19:G24)</f>
        <v>2313.586147999998</v>
      </c>
      <c r="H25" s="48">
        <f t="shared" si="0"/>
        <v>-7.7286685456816273E-2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CDCB-6E49-4157-AF96-30F812497753}">
  <dimension ref="A1:AI54"/>
  <sheetViews>
    <sheetView zoomScale="80" zoomScaleNormal="80" workbookViewId="0">
      <pane xSplit="3" ySplit="4" topLeftCell="AF23" activePane="bottomRight" state="frozen"/>
      <selection pane="topRight" activeCell="D1" sqref="D1"/>
      <selection pane="bottomLeft" activeCell="A5" sqref="A5"/>
      <selection pane="bottomRight" activeCell="A50" sqref="A49:A50"/>
    </sheetView>
  </sheetViews>
  <sheetFormatPr defaultColWidth="8.77734375" defaultRowHeight="14.4" outlineLevelRow="2" outlineLevelCol="1" x14ac:dyDescent="0.3"/>
  <cols>
    <col min="1" max="1" width="18.6640625" bestFit="1" customWidth="1"/>
    <col min="2" max="2" width="36.44140625" style="56" customWidth="1"/>
    <col min="3" max="3" width="35.33203125" style="56" customWidth="1"/>
    <col min="4" max="4" width="15.44140625" bestFit="1" customWidth="1"/>
    <col min="5" max="6" width="15.44140625" style="72" customWidth="1" outlineLevel="1"/>
    <col min="7" max="12" width="15.44140625" customWidth="1" outlineLevel="1"/>
    <col min="13" max="13" width="13.6640625" customWidth="1" outlineLevel="1"/>
    <col min="14" max="14" width="14" customWidth="1" outlineLevel="1" collapsed="1"/>
    <col min="15" max="15" width="13.6640625" customWidth="1" outlineLevel="1"/>
    <col min="16" max="18" width="9.77734375" customWidth="1" outlineLevel="1"/>
    <col min="19" max="19" width="9.6640625" customWidth="1" outlineLevel="1"/>
    <col min="20" max="20" width="9.44140625" customWidth="1" outlineLevel="1"/>
    <col min="21" max="24" width="10.109375" customWidth="1" outlineLevel="1"/>
    <col min="25" max="25" width="10.109375" customWidth="1" outlineLevel="1" collapsed="1"/>
    <col min="26" max="26" width="10.109375" customWidth="1" outlineLevel="1"/>
    <col min="27" max="34" width="10.109375" customWidth="1"/>
    <col min="35" max="35" width="11.109375" customWidth="1"/>
  </cols>
  <sheetData>
    <row r="1" spans="1:35" ht="18" x14ac:dyDescent="0.35">
      <c r="A1" s="196"/>
      <c r="D1" s="365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</row>
    <row r="2" spans="1:35" ht="28.8" x14ac:dyDescent="0.3">
      <c r="B2" s="56" t="s">
        <v>188</v>
      </c>
      <c r="C2" s="56" t="s">
        <v>362</v>
      </c>
      <c r="D2" s="141">
        <v>309.11</v>
      </c>
      <c r="E2" s="140">
        <v>309.45999999999998</v>
      </c>
      <c r="F2" s="140">
        <v>308.42</v>
      </c>
      <c r="G2" s="141" t="e">
        <f>'éves P&amp;L_mérleg'!#REF!</f>
        <v>#REF!</v>
      </c>
      <c r="H2" s="141">
        <v>311.02999999999997</v>
      </c>
      <c r="I2" s="141">
        <v>314.08</v>
      </c>
      <c r="J2" s="141">
        <v>317.54000000000002</v>
      </c>
      <c r="K2" s="141" t="e">
        <f>'éves P&amp;L_mérleg'!#REF!</f>
        <v>#REF!</v>
      </c>
      <c r="L2" s="141">
        <v>318.07</v>
      </c>
      <c r="M2" s="141">
        <v>320.57</v>
      </c>
      <c r="N2" s="141">
        <v>323.16000000000003</v>
      </c>
      <c r="O2" s="141">
        <v>325.35000000000002</v>
      </c>
      <c r="P2" s="141">
        <v>339.05</v>
      </c>
      <c r="Q2" s="141">
        <v>345.15</v>
      </c>
      <c r="R2" s="141">
        <v>348.03</v>
      </c>
      <c r="S2" s="141">
        <v>360.58</v>
      </c>
      <c r="T2" s="141">
        <v>361.1</v>
      </c>
      <c r="U2" s="141">
        <v>354.75</v>
      </c>
      <c r="V2" s="141">
        <v>353.89</v>
      </c>
      <c r="W2" s="141">
        <v>358.52</v>
      </c>
      <c r="X2" s="141">
        <v>364.27</v>
      </c>
      <c r="Y2" s="141">
        <v>375.07</v>
      </c>
      <c r="Z2" s="141">
        <v>384.95</v>
      </c>
      <c r="AA2" s="141">
        <v>391.33</v>
      </c>
      <c r="AB2" s="141">
        <v>388.6</v>
      </c>
      <c r="AC2" s="141">
        <v>380.94</v>
      </c>
      <c r="AD2" s="141">
        <v>381.89</v>
      </c>
      <c r="AE2" s="141">
        <v>381.95</v>
      </c>
      <c r="AF2" s="141">
        <v>388.19</v>
      </c>
      <c r="AG2" s="141">
        <v>389.82</v>
      </c>
      <c r="AH2" s="141">
        <v>391.31</v>
      </c>
      <c r="AI2" s="141">
        <v>395.2</v>
      </c>
    </row>
    <row r="3" spans="1:35" outlineLevel="1" x14ac:dyDescent="0.3">
      <c r="A3" s="1" t="s">
        <v>185</v>
      </c>
      <c r="B3" s="112" t="s">
        <v>185</v>
      </c>
      <c r="C3" s="112" t="s">
        <v>184</v>
      </c>
      <c r="D3" s="67" t="s">
        <v>167</v>
      </c>
      <c r="E3" s="67" t="s">
        <v>169</v>
      </c>
      <c r="F3" s="67" t="s">
        <v>170</v>
      </c>
      <c r="G3" s="67" t="s">
        <v>171</v>
      </c>
      <c r="H3" s="67" t="s">
        <v>172</v>
      </c>
      <c r="I3" s="67" t="s">
        <v>168</v>
      </c>
      <c r="J3" s="67" t="s">
        <v>173</v>
      </c>
      <c r="K3" s="67" t="s">
        <v>176</v>
      </c>
      <c r="L3" s="67" t="s">
        <v>177</v>
      </c>
      <c r="M3" s="67" t="s">
        <v>175</v>
      </c>
      <c r="N3" s="67" t="s">
        <v>174</v>
      </c>
      <c r="O3" s="67" t="s">
        <v>208</v>
      </c>
      <c r="P3" s="67" t="s">
        <v>190</v>
      </c>
      <c r="Q3" s="67" t="s">
        <v>192</v>
      </c>
      <c r="R3" s="67" t="s">
        <v>263</v>
      </c>
      <c r="S3" s="102" t="s">
        <v>279</v>
      </c>
      <c r="T3" s="102" t="s">
        <v>284</v>
      </c>
      <c r="U3" s="102" t="s">
        <v>300</v>
      </c>
      <c r="V3" s="102" t="s">
        <v>301</v>
      </c>
      <c r="W3" s="102" t="s">
        <v>302</v>
      </c>
      <c r="X3" s="102" t="s">
        <v>304</v>
      </c>
      <c r="Y3" s="102" t="s">
        <v>308</v>
      </c>
      <c r="Z3" s="102" t="s">
        <v>309</v>
      </c>
      <c r="AA3" s="67" t="s">
        <v>319</v>
      </c>
      <c r="AB3" s="102" t="s">
        <v>321</v>
      </c>
      <c r="AC3" s="67" t="s">
        <v>346</v>
      </c>
      <c r="AD3" s="67" t="s">
        <v>325</v>
      </c>
      <c r="AE3" s="67" t="s">
        <v>347</v>
      </c>
      <c r="AF3" s="102" t="s">
        <v>344</v>
      </c>
      <c r="AG3" s="67" t="s">
        <v>351</v>
      </c>
      <c r="AH3" s="102" t="s">
        <v>353</v>
      </c>
      <c r="AI3" s="67" t="s">
        <v>366</v>
      </c>
    </row>
    <row r="4" spans="1:35" outlineLevel="1" x14ac:dyDescent="0.3">
      <c r="B4" s="112" t="s">
        <v>355</v>
      </c>
      <c r="C4" s="113" t="s">
        <v>303</v>
      </c>
      <c r="D4" s="101" t="s">
        <v>140</v>
      </c>
      <c r="E4" s="67" t="s">
        <v>140</v>
      </c>
      <c r="F4" s="100" t="s">
        <v>140</v>
      </c>
      <c r="G4" s="100" t="s">
        <v>140</v>
      </c>
      <c r="H4" s="100" t="s">
        <v>140</v>
      </c>
      <c r="I4" s="100" t="s">
        <v>140</v>
      </c>
      <c r="J4" s="100" t="s">
        <v>140</v>
      </c>
      <c r="K4" s="100" t="s">
        <v>140</v>
      </c>
      <c r="L4" s="100" t="s">
        <v>140</v>
      </c>
      <c r="M4" s="100" t="s">
        <v>140</v>
      </c>
      <c r="N4" s="100" t="s">
        <v>140</v>
      </c>
      <c r="O4" s="100" t="s">
        <v>140</v>
      </c>
      <c r="P4" s="100" t="s">
        <v>140</v>
      </c>
      <c r="Q4" s="100" t="s">
        <v>140</v>
      </c>
      <c r="R4" s="100" t="s">
        <v>140</v>
      </c>
      <c r="S4" s="67" t="s">
        <v>281</v>
      </c>
      <c r="T4" s="67" t="s">
        <v>189</v>
      </c>
      <c r="U4" s="67" t="s">
        <v>189</v>
      </c>
      <c r="V4" s="67" t="s">
        <v>189</v>
      </c>
      <c r="W4" s="67" t="s">
        <v>281</v>
      </c>
      <c r="X4" s="67" t="s">
        <v>189</v>
      </c>
      <c r="Y4" s="67" t="s">
        <v>189</v>
      </c>
      <c r="Z4" s="67" t="s">
        <v>189</v>
      </c>
      <c r="AA4" s="67" t="s">
        <v>281</v>
      </c>
      <c r="AB4" s="67" t="s">
        <v>189</v>
      </c>
      <c r="AC4" s="67" t="s">
        <v>189</v>
      </c>
      <c r="AD4" s="67" t="s">
        <v>189</v>
      </c>
      <c r="AE4" s="67" t="s">
        <v>281</v>
      </c>
      <c r="AF4" s="67" t="s">
        <v>189</v>
      </c>
      <c r="AG4" s="67" t="s">
        <v>189</v>
      </c>
      <c r="AH4" s="67" t="s">
        <v>189</v>
      </c>
      <c r="AI4" s="67" t="s">
        <v>281</v>
      </c>
    </row>
    <row r="5" spans="1:35" ht="14.55" customHeight="1" outlineLevel="1" x14ac:dyDescent="0.3">
      <c r="B5" s="58" t="s">
        <v>94</v>
      </c>
      <c r="C5" s="58" t="s">
        <v>103</v>
      </c>
      <c r="D5" s="96">
        <f>'negyedéves P&amp;L_mérleg'!D5/D$2*1000</f>
        <v>15230.221264274853</v>
      </c>
      <c r="E5" s="68">
        <f>'negyedéves P&amp;L_mérleg'!E5/E$2*1000</f>
        <v>27902.702575454023</v>
      </c>
      <c r="F5" s="73">
        <f>'negyedéves P&amp;L_mérleg'!F5/F$2*1000</f>
        <v>40138.144750664673</v>
      </c>
      <c r="G5" s="134" t="e">
        <f>'negyedéves P&amp;L_mérleg'!G5/G$2*1000</f>
        <v>#REF!</v>
      </c>
      <c r="H5" s="73">
        <f>'negyedéves P&amp;L_mérleg'!H5/H$2*1000</f>
        <v>16689.991113397424</v>
      </c>
      <c r="I5" s="134">
        <f>'negyedéves P&amp;L_mérleg'!I5/I$2*1000</f>
        <v>29535.925493504841</v>
      </c>
      <c r="J5" s="73">
        <f>'negyedéves P&amp;L_mérleg'!J5/J$2*1000</f>
        <v>40322.4790577565</v>
      </c>
      <c r="K5" s="134" t="e">
        <f>'negyedéves P&amp;L_mérleg'!K5/K$2*1000</f>
        <v>#REF!</v>
      </c>
      <c r="L5" s="73">
        <f>'negyedéves P&amp;L_mérleg'!L5/L$2*1000</f>
        <v>20418.115059578082</v>
      </c>
      <c r="M5" s="134">
        <f>'negyedéves P&amp;L_mérleg'!M5/M$2*1000</f>
        <v>37874.544055900427</v>
      </c>
      <c r="N5" s="73">
        <f>'negyedéves P&amp;L_mérleg'!N5/N$2*1000</f>
        <v>55684.490654784007</v>
      </c>
      <c r="O5" s="134">
        <f>'negyedéves P&amp;L_mérleg'!O5/O$2*1000</f>
        <v>78601.506070385745</v>
      </c>
      <c r="P5" s="73">
        <f>'negyedéves P&amp;L_mérleg'!P5/P$2*1000</f>
        <v>26715.823624834095</v>
      </c>
      <c r="Q5" s="134">
        <f>'negyedéves P&amp;L_mérleg'!Q5/Q$2*1000</f>
        <v>46830.441836882521</v>
      </c>
      <c r="R5" s="73">
        <f>'negyedéves P&amp;L_mérleg'!R5/R$2*1000</f>
        <v>67434.586098899512</v>
      </c>
      <c r="S5" s="134">
        <f>'negyedéves P&amp;L_mérleg'!S5/S$2*1000</f>
        <v>91467.360918520164</v>
      </c>
      <c r="T5" s="73">
        <f>'negyedéves P&amp;L_mérleg'!T5/T$2*1000</f>
        <v>26263.505954029355</v>
      </c>
      <c r="U5" s="134">
        <f>'negyedéves P&amp;L_mérleg'!U5/U$2*1000</f>
        <v>55760.394644115571</v>
      </c>
      <c r="V5" s="73">
        <f>'negyedéves P&amp;L_mérleg'!V5/V$2*1000</f>
        <v>82086.439289044618</v>
      </c>
      <c r="W5" s="134">
        <f>'negyedéves P&amp;L_mérleg'!W5/W$2*1000</f>
        <v>123422.53709695414</v>
      </c>
      <c r="X5" s="73">
        <f>'negyedéves P&amp;L_mérleg'!X5/X$2*1000</f>
        <v>52339.591511790699</v>
      </c>
      <c r="Y5" s="134">
        <f>'negyedéves P&amp;L_mérleg'!Y5/Y$2*1000</f>
        <v>101282.42728024103</v>
      </c>
      <c r="Z5" s="73">
        <f>'negyedéves P&amp;L_mérleg'!Z5/Z$2*1000</f>
        <v>162992.53669307704</v>
      </c>
      <c r="AA5" s="134">
        <f>'negyedéves P&amp;L_mérleg'!AA5/AA$2*1000</f>
        <v>263273.96315130452</v>
      </c>
      <c r="AB5" s="73">
        <f>'negyedéves P&amp;L_mérleg'!AB5/AB$2*1000</f>
        <v>92784.354091610905</v>
      </c>
      <c r="AC5" s="134">
        <f>'negyedéves P&amp;L_mérleg'!AC5/AC$2*1000</f>
        <v>154495.57935632908</v>
      </c>
      <c r="AD5" s="73">
        <f>'negyedéves P&amp;L_mérleg'!AD5/AD$2*1000</f>
        <v>201237.08659561654</v>
      </c>
      <c r="AE5" s="134">
        <f>'negyedéves P&amp;L_mérleg'!AE5/AE$2*1000</f>
        <v>259076.65139416157</v>
      </c>
      <c r="AF5" s="73">
        <f>'negyedéves P&amp;L_mérleg'!AF5/AF$2*1000</f>
        <v>68723.473041551813</v>
      </c>
      <c r="AG5" s="134">
        <f>'negyedéves P&amp;L_mérleg'!AG5/AG$2*1000</f>
        <v>127718.59832743318</v>
      </c>
      <c r="AH5" s="73">
        <f>'negyedéves P&amp;L_mérleg'!AH5/AH$2*1000</f>
        <v>191118.40484526337</v>
      </c>
      <c r="AI5" s="134">
        <f>'negyedéves P&amp;L_mérleg'!AI5/AI$2*1000</f>
        <v>266672.1634615385</v>
      </c>
    </row>
    <row r="6" spans="1:35" outlineLevel="1" x14ac:dyDescent="0.3">
      <c r="B6" s="59" t="s">
        <v>129</v>
      </c>
      <c r="C6" s="59" t="s">
        <v>104</v>
      </c>
      <c r="D6" s="97">
        <f>'negyedéves P&amp;L_mérleg'!D6/D$2*1000</f>
        <v>-12508.736724790528</v>
      </c>
      <c r="E6" s="69">
        <f>'negyedéves P&amp;L_mérleg'!E6/E$2*1000</f>
        <v>-21169.672371227305</v>
      </c>
      <c r="F6" s="74">
        <f>'negyedéves P&amp;L_mérleg'!F6/F$2*1000</f>
        <v>-31335.843907658385</v>
      </c>
      <c r="G6" s="135" t="e">
        <f>'negyedéves P&amp;L_mérleg'!G6/G$2*1000</f>
        <v>#REF!</v>
      </c>
      <c r="H6" s="74">
        <f>'negyedéves P&amp;L_mérleg'!H6/H$2*1000</f>
        <v>-13368.094926534419</v>
      </c>
      <c r="I6" s="135">
        <f>'negyedéves P&amp;L_mérleg'!I6/I$2*1000</f>
        <v>-22967.968664034644</v>
      </c>
      <c r="J6" s="74">
        <f>'negyedéves P&amp;L_mérleg'!J6/J$2*1000</f>
        <v>-30865.402783901238</v>
      </c>
      <c r="K6" s="135" t="e">
        <f>'negyedéves P&amp;L_mérleg'!K6/K$2*1000</f>
        <v>#REF!</v>
      </c>
      <c r="L6" s="74">
        <f>'negyedéves P&amp;L_mérleg'!L6/L$2*1000</f>
        <v>-16324.166252711666</v>
      </c>
      <c r="M6" s="135">
        <f>'negyedéves P&amp;L_mérleg'!M6/M$2*1000</f>
        <v>-26140.555950338465</v>
      </c>
      <c r="N6" s="74">
        <f>'negyedéves P&amp;L_mérleg'!N6/N$2*1000</f>
        <v>-39330.362668647103</v>
      </c>
      <c r="O6" s="135">
        <f>'negyedéves P&amp;L_mérleg'!O6/O$2*1000</f>
        <v>-55976.234067926838</v>
      </c>
      <c r="P6" s="74">
        <f>'negyedéves P&amp;L_mérleg'!P6/P$2*1000</f>
        <v>-19472.054269281816</v>
      </c>
      <c r="Q6" s="135">
        <f>'negyedéves P&amp;L_mérleg'!Q6/Q$2*1000</f>
        <v>-31686.403013182677</v>
      </c>
      <c r="R6" s="74">
        <f>'negyedéves P&amp;L_mérleg'!R6/R$2*1000</f>
        <v>-46064.040456282506</v>
      </c>
      <c r="S6" s="135">
        <f>'negyedéves P&amp;L_mérleg'!S6/S$2*1000</f>
        <v>-63986.990404348551</v>
      </c>
      <c r="T6" s="74">
        <f>'negyedéves P&amp;L_mérleg'!T6/T$2*1000</f>
        <v>-16436.084187205757</v>
      </c>
      <c r="U6" s="135">
        <f>'negyedéves P&amp;L_mérleg'!U6/U$2*1000</f>
        <v>-30959.83086680761</v>
      </c>
      <c r="V6" s="74">
        <f>'negyedéves P&amp;L_mérleg'!V6/V$2*1000</f>
        <v>-44280.85280736952</v>
      </c>
      <c r="W6" s="135">
        <f>'negyedéves P&amp;L_mérleg'!W6/W$2*1000</f>
        <v>-71472.843913868128</v>
      </c>
      <c r="X6" s="74">
        <f>'negyedéves P&amp;L_mérleg'!X6/X$2*1000</f>
        <v>-34248.510720070277</v>
      </c>
      <c r="Y6" s="135">
        <f>'negyedéves P&amp;L_mérleg'!Y6/Y$2*1000</f>
        <v>-58695.710134108303</v>
      </c>
      <c r="Z6" s="74">
        <f>'negyedéves P&amp;L_mérleg'!Z6/Z$2*1000</f>
        <v>-103083.84205741005</v>
      </c>
      <c r="AA6" s="135">
        <f>'negyedéves P&amp;L_mérleg'!AA6/AA$2*1000</f>
        <v>-180024.09475378838</v>
      </c>
      <c r="AB6" s="74">
        <f>'negyedéves P&amp;L_mérleg'!AB6/AB$2*1000</f>
        <v>-61659.557385486354</v>
      </c>
      <c r="AC6" s="135">
        <f>'negyedéves P&amp;L_mérleg'!AC6/AC$2*1000</f>
        <v>-99608.374022155709</v>
      </c>
      <c r="AD6" s="74">
        <f>'negyedéves P&amp;L_mérleg'!AD6/AD$2*1000</f>
        <v>-128977.65325093613</v>
      </c>
      <c r="AE6" s="135">
        <f>'negyedéves P&amp;L_mérleg'!AE6/AE$2*1000</f>
        <v>-167218.43696818958</v>
      </c>
      <c r="AF6" s="74">
        <f>'negyedéves P&amp;L_mérleg'!AF6/AF$2*1000</f>
        <v>-47391.061078337923</v>
      </c>
      <c r="AG6" s="135">
        <f>'negyedéves P&amp;L_mérleg'!AG6/AG$2*1000</f>
        <v>-82127.9898414653</v>
      </c>
      <c r="AH6" s="74">
        <f>'negyedéves P&amp;L_mérleg'!AH6/AH$2*1000</f>
        <v>-122252.35235491043</v>
      </c>
      <c r="AI6" s="135">
        <f>'negyedéves P&amp;L_mérleg'!AI6/AI$2*1000</f>
        <v>-176291.88006072878</v>
      </c>
    </row>
    <row r="7" spans="1:35" outlineLevel="1" x14ac:dyDescent="0.3">
      <c r="B7" s="60" t="s">
        <v>105</v>
      </c>
      <c r="C7" s="60" t="s">
        <v>106</v>
      </c>
      <c r="D7" s="98">
        <f>'negyedéves P&amp;L_mérleg'!D7/D$2*1000</f>
        <v>-1845.8740060172754</v>
      </c>
      <c r="E7" s="70">
        <f>'negyedéves P&amp;L_mérleg'!E7/E$2*1000</f>
        <v>-3578.1100239126226</v>
      </c>
      <c r="F7" s="75">
        <f>'negyedéves P&amp;L_mérleg'!F7/F$2*1000</f>
        <v>-5519.4741586148757</v>
      </c>
      <c r="G7" s="136" t="e">
        <f>'negyedéves P&amp;L_mérleg'!G7/G$2*1000</f>
        <v>#REF!</v>
      </c>
      <c r="H7" s="75">
        <f>'negyedéves P&amp;L_mérleg'!H7/H$2*1000</f>
        <v>-2002.5385300453333</v>
      </c>
      <c r="I7" s="136">
        <f>'negyedéves P&amp;L_mérleg'!I7/I$2*1000</f>
        <v>-3965.2297376464594</v>
      </c>
      <c r="J7" s="75">
        <f>'negyedéves P&amp;L_mérleg'!J7/J$2*1000</f>
        <v>-5694.061822132644</v>
      </c>
      <c r="K7" s="136" t="e">
        <f>'negyedéves P&amp;L_mérleg'!K7/K$2*1000</f>
        <v>#REF!</v>
      </c>
      <c r="L7" s="75">
        <f>'negyedéves P&amp;L_mérleg'!L7/L$2*1000</f>
        <v>-2043.9386141415409</v>
      </c>
      <c r="M7" s="136">
        <f>'negyedéves P&amp;L_mérleg'!M7/M$2*1000</f>
        <v>-4025.6839286271324</v>
      </c>
      <c r="N7" s="75">
        <f>'negyedéves P&amp;L_mérleg'!N7/N$2*1000</f>
        <v>-6566.4067335066211</v>
      </c>
      <c r="O7" s="136">
        <f>'negyedéves P&amp;L_mérleg'!O7/O$2*1000</f>
        <v>-8784.8904625787618</v>
      </c>
      <c r="P7" s="75">
        <f>'negyedéves P&amp;L_mérleg'!P7/P$2*1000</f>
        <v>-2262.2032148650637</v>
      </c>
      <c r="Q7" s="136">
        <f>'negyedéves P&amp;L_mérleg'!Q7/Q$2*1000</f>
        <v>-4512.4699406055342</v>
      </c>
      <c r="R7" s="75">
        <f>'negyedéves P&amp;L_mérleg'!R7/R$2*1000</f>
        <v>-6947.6395713013253</v>
      </c>
      <c r="S7" s="136">
        <f>'negyedéves P&amp;L_mérleg'!S7/S$2*1000</f>
        <v>-10455.488379832492</v>
      </c>
      <c r="T7" s="75">
        <f>'negyedéves P&amp;L_mérleg'!T7/T$2*1000</f>
        <v>-2465.267238991969</v>
      </c>
      <c r="U7" s="136">
        <f>'negyedéves P&amp;L_mérleg'!U7/U$2*1000</f>
        <v>-6170.5426356589151</v>
      </c>
      <c r="V7" s="75">
        <f>'negyedéves P&amp;L_mérleg'!V7/V$2*1000</f>
        <v>-8418.9324366328528</v>
      </c>
      <c r="W7" s="136">
        <f>'negyedéves P&amp;L_mérleg'!W7/W$2*1000</f>
        <v>-11693.174718286287</v>
      </c>
      <c r="X7" s="75">
        <f>'negyedéves P&amp;L_mérleg'!X7/X$2*1000</f>
        <v>-3060.9081176050736</v>
      </c>
      <c r="Y7" s="136">
        <f>'negyedéves P&amp;L_mérleg'!Y7/Y$2*1000</f>
        <v>-6734.742848001707</v>
      </c>
      <c r="Z7" s="75">
        <f>'negyedéves P&amp;L_mérleg'!Z7/Z$2*1000</f>
        <v>-10795.069489544097</v>
      </c>
      <c r="AA7" s="136">
        <f>'negyedéves P&amp;L_mérleg'!AA7/AA$2*1000</f>
        <v>-15208.772647126467</v>
      </c>
      <c r="AB7" s="75">
        <f>'negyedéves P&amp;L_mérleg'!AB7/AB$2*1000</f>
        <v>-4208.3170355120947</v>
      </c>
      <c r="AC7" s="136">
        <f>'negyedéves P&amp;L_mérleg'!AC7/AC$2*1000</f>
        <v>-9793.7522969496495</v>
      </c>
      <c r="AD7" s="75">
        <f>'negyedéves P&amp;L_mérleg'!AD7/AD$2*1000</f>
        <v>-15089.551965225588</v>
      </c>
      <c r="AE7" s="136">
        <f>'negyedéves P&amp;L_mérleg'!AE7/AE$2*1000</f>
        <v>-20621.311690011782</v>
      </c>
      <c r="AF7" s="75">
        <f>'negyedéves P&amp;L_mérleg'!AF7/AF$2*1000</f>
        <v>-5718.6686931657177</v>
      </c>
      <c r="AG7" s="136">
        <f>'negyedéves P&amp;L_mérleg'!AG7/AG$2*1000</f>
        <v>-13071.830588476732</v>
      </c>
      <c r="AH7" s="75">
        <f>'negyedéves P&amp;L_mérleg'!AH7/AH$2*1000</f>
        <v>-19459.781247604202</v>
      </c>
      <c r="AI7" s="136">
        <f>'negyedéves P&amp;L_mérleg'!AI7/AI$2*1000</f>
        <v>-27382.85172064777</v>
      </c>
    </row>
    <row r="8" spans="1:35" outlineLevel="1" x14ac:dyDescent="0.3">
      <c r="B8" s="60" t="s">
        <v>107</v>
      </c>
      <c r="C8" s="60" t="s">
        <v>108</v>
      </c>
      <c r="D8" s="98">
        <f>'negyedéves P&amp;L_mérleg'!D8/D$2*1000</f>
        <v>-486.01730128433246</v>
      </c>
      <c r="E8" s="70">
        <f>'negyedéves P&amp;L_mérleg'!E8/E$2*1000</f>
        <v>-918.52606152653016</v>
      </c>
      <c r="F8" s="75">
        <f>'negyedéves P&amp;L_mérleg'!F8/F$2*1000</f>
        <v>-1361.1692562090657</v>
      </c>
      <c r="G8" s="136" t="e">
        <f>'negyedéves P&amp;L_mérleg'!G8/G$2*1000</f>
        <v>#REF!</v>
      </c>
      <c r="H8" s="75">
        <f>'negyedéves P&amp;L_mérleg'!H8/H$2*1000</f>
        <v>-513.39244124361005</v>
      </c>
      <c r="I8" s="136">
        <f>'negyedéves P&amp;L_mérleg'!I8/I$2*1000</f>
        <v>-1070.6133373662763</v>
      </c>
      <c r="J8" s="75">
        <f>'negyedéves P&amp;L_mérleg'!J8/J$2*1000</f>
        <v>-1581.1657838382566</v>
      </c>
      <c r="K8" s="136" t="e">
        <f>'negyedéves P&amp;L_mérleg'!K8/K$2*1000</f>
        <v>#REF!</v>
      </c>
      <c r="L8" s="75">
        <f>'negyedéves P&amp;L_mérleg'!L8/L$2*1000</f>
        <v>-795.18566982110849</v>
      </c>
      <c r="M8" s="136">
        <f>'negyedéves P&amp;L_mérleg'!M8/M$2*1000</f>
        <v>-2833.5276226721153</v>
      </c>
      <c r="N8" s="75">
        <f>'negyedéves P&amp;L_mérleg'!N8/N$2*1000</f>
        <v>-4780.9134793910134</v>
      </c>
      <c r="O8" s="136">
        <f>'negyedéves P&amp;L_mérleg'!O8/O$2*1000</f>
        <v>-6287.849263869678</v>
      </c>
      <c r="P8" s="75">
        <f>'negyedéves P&amp;L_mérleg'!P8/P$2*1000</f>
        <v>-1846.3353487686181</v>
      </c>
      <c r="Q8" s="136">
        <f>'negyedéves P&amp;L_mérleg'!Q8/Q$2*1000</f>
        <v>-3775.4251774590762</v>
      </c>
      <c r="R8" s="75">
        <f>'negyedéves P&amp;L_mérleg'!R8/R$2*1000</f>
        <v>-5577.6829583656581</v>
      </c>
      <c r="S8" s="136">
        <f>'negyedéves P&amp;L_mérleg'!S8/S$2*1000</f>
        <v>-7927.5694714071778</v>
      </c>
      <c r="T8" s="75">
        <f>'negyedéves P&amp;L_mérleg'!T8/T$2*1000</f>
        <v>-2375.1869288285793</v>
      </c>
      <c r="U8" s="136">
        <f>'negyedéves P&amp;L_mérleg'!U8/U$2*1000</f>
        <v>-6164.9048625792811</v>
      </c>
      <c r="V8" s="75">
        <f>'negyedéves P&amp;L_mérleg'!V8/V$2*1000</f>
        <v>-8506.222272457544</v>
      </c>
      <c r="W8" s="136">
        <f>'negyedéves P&amp;L_mérleg'!W8/W$2*1000</f>
        <v>-10980.333035813901</v>
      </c>
      <c r="X8" s="75">
        <f>'negyedéves P&amp;L_mérleg'!X8/X$2*1000</f>
        <v>-2624.4132099816075</v>
      </c>
      <c r="Y8" s="136">
        <f>'negyedéves P&amp;L_mérleg'!Y8/Y$2*1000</f>
        <v>-5212.3603593995786</v>
      </c>
      <c r="Z8" s="75">
        <f>'negyedéves P&amp;L_mérleg'!Z8/Z$2*1000</f>
        <v>-7111.136511235225</v>
      </c>
      <c r="AA8" s="136">
        <f>'negyedéves P&amp;L_mérleg'!AA8/AA$2*1000</f>
        <v>-9013.2675746812147</v>
      </c>
      <c r="AB8" s="75">
        <f>'negyedéves P&amp;L_mérleg'!AB8/AB$2*1000</f>
        <v>-2440.6870818322182</v>
      </c>
      <c r="AC8" s="136">
        <f>'negyedéves P&amp;L_mérleg'!AC8/AC$2*1000</f>
        <v>-5481.2280149104845</v>
      </c>
      <c r="AD8" s="75">
        <f>'negyedéves P&amp;L_mérleg'!AD8/AD$2*1000</f>
        <v>-8206.7637277750146</v>
      </c>
      <c r="AE8" s="136">
        <f>'negyedéves P&amp;L_mérleg'!AE8/AE$2*1000</f>
        <v>-11175.475847624035</v>
      </c>
      <c r="AF8" s="75">
        <f>'negyedéves P&amp;L_mérleg'!AF8/AF$2*1000</f>
        <v>-2812.1873309461862</v>
      </c>
      <c r="AG8" s="136">
        <f>'negyedéves P&amp;L_mérleg'!AG8/AG$2*1000</f>
        <v>-5700.3745318352057</v>
      </c>
      <c r="AH8" s="75">
        <f>'negyedéves P&amp;L_mérleg'!AH8/AH$2*1000</f>
        <v>-9036.2679205744807</v>
      </c>
      <c r="AI8" s="136">
        <f>'negyedéves P&amp;L_mérleg'!AI8/AI$2*1000</f>
        <v>-14023.757591093119</v>
      </c>
    </row>
    <row r="9" spans="1:35" outlineLevel="1" x14ac:dyDescent="0.3">
      <c r="B9" s="60" t="s">
        <v>95</v>
      </c>
      <c r="C9" s="60" t="s">
        <v>109</v>
      </c>
      <c r="D9" s="98">
        <f>'negyedéves P&amp;L_mérleg'!D9/D$2*1000</f>
        <v>642.16408074795368</v>
      </c>
      <c r="E9" s="70">
        <f>'negyedéves P&amp;L_mérleg'!E9/E$2*1000</f>
        <v>927.58076326504249</v>
      </c>
      <c r="F9" s="75">
        <f>'negyedéves P&amp;L_mérleg'!F9/F$2*1000</f>
        <v>1255.1537805589778</v>
      </c>
      <c r="G9" s="136" t="e">
        <f>'negyedéves P&amp;L_mérleg'!G9/G$2*1000</f>
        <v>#REF!</v>
      </c>
      <c r="H9" s="75">
        <f>'negyedéves P&amp;L_mérleg'!H9/H$2*1000</f>
        <v>-16.983914734913032</v>
      </c>
      <c r="I9" s="136">
        <f>'negyedéves P&amp;L_mérleg'!I9/I$2*1000</f>
        <v>377.82961347427408</v>
      </c>
      <c r="J9" s="75">
        <f>'negyedéves P&amp;L_mérleg'!J9/J$2*1000</f>
        <v>-89.921499653586935</v>
      </c>
      <c r="K9" s="136" t="e">
        <f>'negyedéves P&amp;L_mérleg'!K9/K$2*1000</f>
        <v>#REF!</v>
      </c>
      <c r="L9" s="75">
        <f>'negyedéves P&amp;L_mérleg'!L9/L$2*1000</f>
        <v>-623.17831609394159</v>
      </c>
      <c r="M9" s="136">
        <f>'negyedéves P&amp;L_mérleg'!M9/M$2*1000</f>
        <v>-1086.2138534485448</v>
      </c>
      <c r="N9" s="75">
        <f>'negyedéves P&amp;L_mérleg'!N9/N$2*1000</f>
        <v>-1126.3770268597598</v>
      </c>
      <c r="O9" s="136">
        <f>'negyedéves P&amp;L_mérleg'!O9/O$2*1000</f>
        <v>-2472.0495466420775</v>
      </c>
      <c r="P9" s="75">
        <f>'negyedéves P&amp;L_mérleg'!P9/P$2*1000</f>
        <v>-1560.2418522341836</v>
      </c>
      <c r="Q9" s="136">
        <f>'negyedéves P&amp;L_mérleg'!Q9/Q$2*1000</f>
        <v>-1541.6746342170075</v>
      </c>
      <c r="R9" s="75">
        <f>'negyedéves P&amp;L_mérleg'!R9/R$2*1000</f>
        <v>-1699.2730511737495</v>
      </c>
      <c r="S9" s="136">
        <f>'negyedéves P&amp;L_mérleg'!S9/S$2*1000</f>
        <v>-3405.6741915802322</v>
      </c>
      <c r="T9" s="75">
        <f>'negyedéves P&amp;L_mérleg'!T9/T$2*1000</f>
        <v>-1151.3237330379395</v>
      </c>
      <c r="U9" s="136">
        <f>'negyedéves P&amp;L_mérleg'!U9/U$2*1000</f>
        <v>-1488.3720930232557</v>
      </c>
      <c r="V9" s="75">
        <f>'negyedéves P&amp;L_mérleg'!V9/V$2*1000</f>
        <v>-2515.0329198338468</v>
      </c>
      <c r="W9" s="136">
        <f>'negyedéves P&amp;L_mérleg'!W9/W$2*1000</f>
        <v>-5008.381680240991</v>
      </c>
      <c r="X9" s="75">
        <f>'negyedéves P&amp;L_mérleg'!X9/X$2*1000</f>
        <v>-2563.4419523979468</v>
      </c>
      <c r="Y9" s="136">
        <f>'negyedéves P&amp;L_mérleg'!Y9/Y$2*1000</f>
        <v>-4789.5059588876738</v>
      </c>
      <c r="Z9" s="75">
        <f>'negyedéves P&amp;L_mérleg'!Z9/Z$2*1000</f>
        <v>-7308.266008572542</v>
      </c>
      <c r="AA9" s="136">
        <f>'negyedéves P&amp;L_mérleg'!AA9/AA$2*1000</f>
        <v>-17286.847417780391</v>
      </c>
      <c r="AB9" s="75">
        <f>'negyedéves P&amp;L_mérleg'!AB9/AB$2*1000</f>
        <v>-7105.6124549665465</v>
      </c>
      <c r="AC9" s="136">
        <f>'negyedéves P&amp;L_mérleg'!AC9/AC$2*1000</f>
        <v>-12357.870005775188</v>
      </c>
      <c r="AD9" s="75">
        <f>'negyedéves P&amp;L_mérleg'!AD9/AD$2*1000</f>
        <v>-15644.973683521432</v>
      </c>
      <c r="AE9" s="136">
        <f>'negyedéves P&amp;L_mérleg'!AE9/AE$2*1000</f>
        <v>-21772.29742112842</v>
      </c>
      <c r="AF9" s="75">
        <f>'negyedéves P&amp;L_mérleg'!AF9/AF$2*1000</f>
        <v>-4460.5116051418127</v>
      </c>
      <c r="AG9" s="136">
        <f>'negyedéves P&amp;L_mérleg'!AG9/AG$2*1000</f>
        <v>-8402.6191575598987</v>
      </c>
      <c r="AH9" s="75">
        <f>'negyedéves P&amp;L_mérleg'!AH9/AH$2*1000</f>
        <v>-12964.437402570849</v>
      </c>
      <c r="AI9" s="136">
        <f>'negyedéves P&amp;L_mérleg'!AI9/AI$2*1000</f>
        <v>-16604.653340080971</v>
      </c>
    </row>
    <row r="10" spans="1:35" outlineLevel="1" x14ac:dyDescent="0.3">
      <c r="B10" s="60" t="s">
        <v>110</v>
      </c>
      <c r="C10" s="60" t="s">
        <v>111</v>
      </c>
      <c r="D10" s="98">
        <f>'negyedéves P&amp;L_mérleg'!D10/D$2*1000</f>
        <v>0</v>
      </c>
      <c r="E10" s="70">
        <f>'negyedéves P&amp;L_mérleg'!E10/E$2*1000</f>
        <v>0</v>
      </c>
      <c r="F10" s="75">
        <f>'negyedéves P&amp;L_mérleg'!F10/F$2*1000</f>
        <v>0</v>
      </c>
      <c r="G10" s="136" t="e">
        <f>'negyedéves P&amp;L_mérleg'!G10/G$2*1000</f>
        <v>#REF!</v>
      </c>
      <c r="H10" s="75">
        <f>'negyedéves P&amp;L_mérleg'!H10/H$2*1000</f>
        <v>0</v>
      </c>
      <c r="I10" s="136">
        <f>'negyedéves P&amp;L_mérleg'!I10/I$2*1000</f>
        <v>-71.496055145185935</v>
      </c>
      <c r="J10" s="75">
        <f>'negyedéves P&amp;L_mérleg'!J10/J$2*1000</f>
        <v>-88.970822573534051</v>
      </c>
      <c r="K10" s="136" t="e">
        <f>'negyedéves P&amp;L_mérleg'!K10/K$2*1000</f>
        <v>#REF!</v>
      </c>
      <c r="L10" s="75">
        <f>'negyedéves P&amp;L_mérleg'!L10/L$2*1000</f>
        <v>0</v>
      </c>
      <c r="M10" s="136">
        <f>'negyedéves P&amp;L_mérleg'!M10/M$2*1000</f>
        <v>-250.00415197928695</v>
      </c>
      <c r="N10" s="75">
        <f>'negyedéves P&amp;L_mérleg'!N10/N$2*1000</f>
        <v>-253.74427528159421</v>
      </c>
      <c r="O10" s="136">
        <f>'negyedéves P&amp;L_mérleg'!O10/O$2*1000</f>
        <v>0</v>
      </c>
      <c r="P10" s="75">
        <f>'negyedéves P&amp;L_mérleg'!P10/P$2*1000</f>
        <v>-2.949417490045716</v>
      </c>
      <c r="Q10" s="136">
        <f>'negyedéves P&amp;L_mérleg'!Q10/Q$2*1000</f>
        <v>-1.1038678835289006</v>
      </c>
      <c r="R10" s="75">
        <f>'negyedéves P&amp;L_mérleg'!R10/R$2*1000</f>
        <v>-1.0947332126540816</v>
      </c>
      <c r="S10" s="136">
        <f>'negyedéves P&amp;L_mérleg'!S10/S$2*1000</f>
        <v>0</v>
      </c>
      <c r="T10" s="75">
        <f>'negyedéves P&amp;L_mérleg'!T10/T$2*1000</f>
        <v>0</v>
      </c>
      <c r="U10" s="136">
        <f>'negyedéves P&amp;L_mérleg'!U10/U$2*1000</f>
        <v>0</v>
      </c>
      <c r="V10" s="75">
        <f>'negyedéves P&amp;L_mérleg'!V10/V$2*1000</f>
        <v>0</v>
      </c>
      <c r="W10" s="136">
        <f>'negyedéves P&amp;L_mérleg'!W10/W$2*1000</f>
        <v>0</v>
      </c>
      <c r="X10" s="75">
        <f>'negyedéves P&amp;L_mérleg'!X10/X$2*1000</f>
        <v>0</v>
      </c>
      <c r="Y10" s="136">
        <f>'negyedéves P&amp;L_mérleg'!Y10/Y$2*1000</f>
        <v>0</v>
      </c>
      <c r="Z10" s="75">
        <f>'negyedéves P&amp;L_mérleg'!Z10/Z$2*1000</f>
        <v>0</v>
      </c>
      <c r="AA10" s="136">
        <f>'negyedéves P&amp;L_mérleg'!AA10/AA$2*1000</f>
        <v>0</v>
      </c>
      <c r="AB10" s="75">
        <f>'negyedéves P&amp;L_mérleg'!AB10/AB$2*1000</f>
        <v>0</v>
      </c>
      <c r="AC10" s="136">
        <f>'negyedéves P&amp;L_mérleg'!AC10/AC$2*1000</f>
        <v>0</v>
      </c>
      <c r="AD10" s="75">
        <f>'negyedéves P&amp;L_mérleg'!AD10/AD$2*1000</f>
        <v>0</v>
      </c>
      <c r="AE10" s="136">
        <f>'negyedéves P&amp;L_mérleg'!AE10/AE$2*1000</f>
        <v>0</v>
      </c>
      <c r="AF10" s="75">
        <f>'negyedéves P&amp;L_mérleg'!AF10/AF$2*1000</f>
        <v>0</v>
      </c>
      <c r="AG10" s="136">
        <f>'negyedéves P&amp;L_mérleg'!AG10/AG$2*1000</f>
        <v>0</v>
      </c>
      <c r="AH10" s="75">
        <f>'negyedéves P&amp;L_mérleg'!AH10/AH$2*1000</f>
        <v>1408.111216171322</v>
      </c>
      <c r="AI10" s="136">
        <f>'negyedéves P&amp;L_mérleg'!AI10/AI$2*1000</f>
        <v>0</v>
      </c>
    </row>
    <row r="11" spans="1:35" outlineLevel="1" x14ac:dyDescent="0.3">
      <c r="B11" s="60" t="s">
        <v>278</v>
      </c>
      <c r="C11" s="60" t="s">
        <v>269</v>
      </c>
      <c r="D11" s="98">
        <f>'negyedéves P&amp;L_mérleg'!D11/D$2*1000</f>
        <v>0</v>
      </c>
      <c r="E11" s="70">
        <f>'negyedéves P&amp;L_mérleg'!E11/E$2*1000</f>
        <v>0</v>
      </c>
      <c r="F11" s="75">
        <f>'negyedéves P&amp;L_mérleg'!F11/F$2*1000</f>
        <v>0</v>
      </c>
      <c r="G11" s="136" t="e">
        <f>'negyedéves P&amp;L_mérleg'!G11/G$2*1000</f>
        <v>#REF!</v>
      </c>
      <c r="H11" s="75">
        <f>'negyedéves P&amp;L_mérleg'!H11/H$2*1000</f>
        <v>0</v>
      </c>
      <c r="I11" s="136">
        <f>'negyedéves P&amp;L_mérleg'!I11/I$2*1000</f>
        <v>0</v>
      </c>
      <c r="J11" s="75">
        <f>'negyedéves P&amp;L_mérleg'!J11/J$2*1000</f>
        <v>0</v>
      </c>
      <c r="K11" s="136" t="e">
        <f>'negyedéves P&amp;L_mérleg'!K11/K$2*1000</f>
        <v>#REF!</v>
      </c>
      <c r="L11" s="75">
        <f>'negyedéves P&amp;L_mérleg'!L11/L$2*1000</f>
        <v>0</v>
      </c>
      <c r="M11" s="136">
        <f>'negyedéves P&amp;L_mérleg'!M11/M$2*1000</f>
        <v>0</v>
      </c>
      <c r="N11" s="75">
        <f>'negyedéves P&amp;L_mérleg'!N11/N$2*1000</f>
        <v>0</v>
      </c>
      <c r="O11" s="136">
        <f>'negyedéves P&amp;L_mérleg'!O11/O$2*1000</f>
        <v>0</v>
      </c>
      <c r="P11" s="75">
        <f>'negyedéves P&amp;L_mérleg'!P11/P$2*1000</f>
        <v>0</v>
      </c>
      <c r="Q11" s="136">
        <f>'negyedéves P&amp;L_mérleg'!Q11/Q$2*1000</f>
        <v>0</v>
      </c>
      <c r="R11" s="75">
        <f>'negyedéves P&amp;L_mérleg'!R11/R$2*1000</f>
        <v>0</v>
      </c>
      <c r="S11" s="136">
        <f>'negyedéves P&amp;L_mérleg'!S11/S$2*1000</f>
        <v>1420.5613178767542</v>
      </c>
      <c r="T11" s="75">
        <f>'negyedéves P&amp;L_mérleg'!T11/T$2*1000</f>
        <v>164.92938244253668</v>
      </c>
      <c r="U11" s="136">
        <f>'negyedéves P&amp;L_mérleg'!U11/U$2*1000</f>
        <v>374.91190979563072</v>
      </c>
      <c r="V11" s="75">
        <f>'negyedéves P&amp;L_mérleg'!V11/V$2*1000</f>
        <v>532.21905111757894</v>
      </c>
      <c r="W11" s="136">
        <f>'negyedéves P&amp;L_mérleg'!W11/W$2*1000</f>
        <v>677.30112685484767</v>
      </c>
      <c r="X11" s="75">
        <f>'negyedéves P&amp;L_mérleg'!X11/X$2*1000</f>
        <v>205.89123452384223</v>
      </c>
      <c r="Y11" s="136">
        <f>'negyedéves P&amp;L_mérleg'!Y11/Y$2*1000</f>
        <v>417.2554456501453</v>
      </c>
      <c r="Z11" s="75">
        <f>'negyedéves P&amp;L_mérleg'!Z11/Z$2*1000</f>
        <v>632.73671905442268</v>
      </c>
      <c r="AA11" s="136">
        <f>'negyedéves P&amp;L_mérleg'!AA11/AA$2*1000</f>
        <v>917.16709682365274</v>
      </c>
      <c r="AB11" s="75">
        <f>'negyedéves P&amp;L_mérleg'!AB11/AB$2*1000</f>
        <v>362.84096757591351</v>
      </c>
      <c r="AC11" s="136">
        <f>'negyedéves P&amp;L_mérleg'!AC11/AC$2*1000</f>
        <v>777.11713130676753</v>
      </c>
      <c r="AD11" s="75">
        <f>'negyedéves P&amp;L_mérleg'!AD11/AD$2*1000</f>
        <v>1234.5701641834037</v>
      </c>
      <c r="AE11" s="136">
        <f>'negyedéves P&amp;L_mérleg'!AE11/AE$2*1000</f>
        <v>1410.0431993716456</v>
      </c>
      <c r="AF11" s="75">
        <f>'negyedéves P&amp;L_mérleg'!AF11/AF$2*1000</f>
        <v>405.65959968056882</v>
      </c>
      <c r="AG11" s="136">
        <f>'negyedéves P&amp;L_mérleg'!AG11/AG$2*1000</f>
        <v>929.6598430044636</v>
      </c>
      <c r="AH11" s="75">
        <f>'negyedéves P&amp;L_mérleg'!AH11/AH$2*1000</f>
        <v>0</v>
      </c>
      <c r="AI11" s="136">
        <f>'negyedéves P&amp;L_mérleg'!AI11/AI$2*1000</f>
        <v>1806.0678137651823</v>
      </c>
    </row>
    <row r="12" spans="1:35" outlineLevel="1" x14ac:dyDescent="0.3">
      <c r="B12" s="53" t="s">
        <v>112</v>
      </c>
      <c r="C12" s="53" t="s">
        <v>113</v>
      </c>
      <c r="D12" s="76">
        <f>'negyedéves P&amp;L_mérleg'!D12/D$2*1000</f>
        <v>1031.7573129306711</v>
      </c>
      <c r="E12" s="19">
        <f>'negyedéves P&amp;L_mérleg'!E12/E$2*1000</f>
        <v>3163.9748820526083</v>
      </c>
      <c r="F12" s="76">
        <f>'negyedéves P&amp;L_mérleg'!F12/F$2*1000</f>
        <v>3176.8112087413251</v>
      </c>
      <c r="G12" s="137" t="e">
        <f>'negyedéves P&amp;L_mérleg'!G12/G$2*1000</f>
        <v>#REF!</v>
      </c>
      <c r="H12" s="76">
        <f>'negyedéves P&amp;L_mérleg'!H12/H$2*1000</f>
        <v>788.98130083914702</v>
      </c>
      <c r="I12" s="137">
        <f>'negyedéves P&amp;L_mérleg'!I12/I$2*1000</f>
        <v>1838.4473127865524</v>
      </c>
      <c r="J12" s="76">
        <f>'negyedéves P&amp;L_mérleg'!J12/J$2*1000</f>
        <v>2002.9563456572398</v>
      </c>
      <c r="K12" s="137" t="e">
        <f>'negyedéves P&amp;L_mérleg'!K12/K$2*1000</f>
        <v>#REF!</v>
      </c>
      <c r="L12" s="76">
        <f>'negyedéves P&amp;L_mérleg'!L12/L$2*1000</f>
        <v>631.64620680982136</v>
      </c>
      <c r="M12" s="137">
        <f>'negyedéves P&amp;L_mérleg'!M12/M$2*1000</f>
        <v>3538.5585488348866</v>
      </c>
      <c r="N12" s="76">
        <f>'negyedéves P&amp;L_mérleg'!N12/N$2*1000</f>
        <v>3626.686471097908</v>
      </c>
      <c r="O12" s="137">
        <f>'negyedéves P&amp;L_mérleg'!O12/O$2*1000</f>
        <v>5081.5592654064867</v>
      </c>
      <c r="P12" s="76">
        <f>'negyedéves P&amp;L_mérleg'!P12/P$2*1000</f>
        <v>1572.0395221943666</v>
      </c>
      <c r="Q12" s="137">
        <f>'negyedéves P&amp;L_mérleg'!Q12/Q$2*1000</f>
        <v>5313.3652035346959</v>
      </c>
      <c r="R12" s="76">
        <f>'negyedéves P&amp;L_mérleg'!R12/R$2*1000</f>
        <v>7144.8553285636262</v>
      </c>
      <c r="S12" s="137">
        <f>'negyedéves P&amp;L_mérleg'!S12/S$2*1000</f>
        <v>7112.1997892284635</v>
      </c>
      <c r="T12" s="76">
        <f>'negyedéves P&amp;L_mérleg'!T12/T$2*1000</f>
        <v>4000.5732484076466</v>
      </c>
      <c r="U12" s="137">
        <f>'negyedéves P&amp;L_mérleg'!U12/U$2*1000</f>
        <v>11351.656095842141</v>
      </c>
      <c r="V12" s="76">
        <f>'negyedéves P&amp;L_mérleg'!V12/V$2*1000</f>
        <v>18897.617903868439</v>
      </c>
      <c r="W12" s="137">
        <f>'negyedéves P&amp;L_mérleg'!W12/W$2*1000</f>
        <v>24945.104875599682</v>
      </c>
      <c r="X12" s="76">
        <f>'negyedéves P&amp;L_mérleg'!X12/X$2*1000</f>
        <v>10048.749553902322</v>
      </c>
      <c r="Y12" s="137">
        <f>'negyedéves P&amp;L_mérleg'!Y12/Y$2*1000</f>
        <v>26267.36342549391</v>
      </c>
      <c r="Z12" s="76">
        <f>'negyedéves P&amp;L_mérleg'!Z12/Z$2*1000</f>
        <v>35326.959345369534</v>
      </c>
      <c r="AA12" s="137">
        <f>'negyedéves P&amp;L_mérleg'!AA12/AA$2*1000</f>
        <v>42658.147854751747</v>
      </c>
      <c r="AB12" s="76">
        <f>'negyedéves P&amp;L_mérleg'!AB12/AB$2*1000</f>
        <v>17735.08234688628</v>
      </c>
      <c r="AC12" s="137">
        <f>'negyedéves P&amp;L_mérleg'!AC12/AC$2*1000</f>
        <v>28031.472147844815</v>
      </c>
      <c r="AD12" s="76">
        <f>'negyedéves P&amp;L_mérleg'!AD12/AD$2*1000</f>
        <v>34552.714132341775</v>
      </c>
      <c r="AE12" s="137">
        <f>'negyedéves P&amp;L_mérleg'!AE12/AE$2*1000</f>
        <v>39699.17266657939</v>
      </c>
      <c r="AF12" s="76">
        <f>'negyedéves P&amp;L_mérleg'!AF12/AF$2*1000</f>
        <v>8746.7039336407379</v>
      </c>
      <c r="AG12" s="137">
        <f>'negyedéves P&amp;L_mérleg'!AG12/AG$2*1000</f>
        <v>19345.444051100516</v>
      </c>
      <c r="AH12" s="76">
        <f>'negyedéves P&amp;L_mérleg'!AH12/AH$2*1000</f>
        <v>28813.677135774717</v>
      </c>
      <c r="AI12" s="137">
        <f>'negyedéves P&amp;L_mérleg'!AI12/AI$2*1000</f>
        <v>34175.088562753037</v>
      </c>
    </row>
    <row r="13" spans="1:35" outlineLevel="1" x14ac:dyDescent="0.3">
      <c r="B13" s="60" t="s">
        <v>114</v>
      </c>
      <c r="C13" s="60" t="s">
        <v>115</v>
      </c>
      <c r="D13" s="98">
        <f>'negyedéves P&amp;L_mérleg'!D13/D$2*1000</f>
        <v>-300.93947462068519</v>
      </c>
      <c r="E13" s="70">
        <f>'negyedéves P&amp;L_mérleg'!E13/E$2*1000</f>
        <v>-570.07544755380343</v>
      </c>
      <c r="F13" s="75">
        <f>'negyedéves P&amp;L_mérleg'!F13/F$2*1000</f>
        <v>-796.85678295830348</v>
      </c>
      <c r="G13" s="136" t="e">
        <f>'negyedéves P&amp;L_mérleg'!G13/G$2*1000</f>
        <v>#REF!</v>
      </c>
      <c r="H13" s="75">
        <f>'negyedéves P&amp;L_mérleg'!H13/H$2*1000</f>
        <v>-198.40420538211751</v>
      </c>
      <c r="I13" s="136">
        <f>'negyedéves P&amp;L_mérleg'!I13/I$2*1000</f>
        <v>-82.647061258278143</v>
      </c>
      <c r="J13" s="75">
        <f>'negyedéves P&amp;L_mérleg'!J13/J$2*1000</f>
        <v>-369.31218114253318</v>
      </c>
      <c r="K13" s="136" t="e">
        <f>'negyedéves P&amp;L_mérleg'!K13/K$2*1000</f>
        <v>#REF!</v>
      </c>
      <c r="L13" s="75">
        <f>'negyedéves P&amp;L_mérleg'!L13/L$2*1000</f>
        <v>-462.18700914892952</v>
      </c>
      <c r="M13" s="136">
        <f>'negyedéves P&amp;L_mérleg'!M13/M$2*1000</f>
        <v>-1127.1714165392893</v>
      </c>
      <c r="N13" s="75">
        <f>'negyedéves P&amp;L_mérleg'!N13/N$2*1000</f>
        <v>-1581.2600569377398</v>
      </c>
      <c r="O13" s="136">
        <f>'negyedéves P&amp;L_mérleg'!O13/O$2*1000</f>
        <v>-2900.9383433225753</v>
      </c>
      <c r="P13" s="75">
        <f>'negyedéves P&amp;L_mérleg'!P13/P$2*1000</f>
        <v>26.544757410411442</v>
      </c>
      <c r="Q13" s="136">
        <f>'negyedéves P&amp;L_mérleg'!Q13/Q$2*1000</f>
        <v>-903.95480225988706</v>
      </c>
      <c r="R13" s="75">
        <f>'negyedéves P&amp;L_mérleg'!R13/R$2*1000</f>
        <v>-1619.8258770795624</v>
      </c>
      <c r="S13" s="136">
        <f>'negyedéves P&amp;L_mérleg'!S13/S$2*1000</f>
        <v>-3023.7839037106883</v>
      </c>
      <c r="T13" s="75">
        <f>'negyedéves P&amp;L_mérleg'!T13/T$2*1000</f>
        <v>-701.07449459983377</v>
      </c>
      <c r="U13" s="136">
        <f>'negyedéves P&amp;L_mérleg'!U13/U$2*1000</f>
        <v>-1592.6708949964764</v>
      </c>
      <c r="V13" s="75">
        <f>'negyedéves P&amp;L_mérleg'!V13/V$2*1000</f>
        <v>-2122.3007149114133</v>
      </c>
      <c r="W13" s="136">
        <f>'negyedéves P&amp;L_mérleg'!W13/W$2*1000</f>
        <v>-5218.8190338056456</v>
      </c>
      <c r="X13" s="75">
        <f>'negyedéves P&amp;L_mérleg'!X13/X$2*1000</f>
        <v>-905.30375820133418</v>
      </c>
      <c r="Y13" s="136">
        <f>'negyedéves P&amp;L_mérleg'!Y13/Y$2*1000</f>
        <v>-949.15615751726341</v>
      </c>
      <c r="Z13" s="75">
        <f>'negyedéves P&amp;L_mérleg'!Z13/Z$2*1000</f>
        <v>-629.7675022730225</v>
      </c>
      <c r="AA13" s="136">
        <f>'negyedéves P&amp;L_mérleg'!AA13/AA$2*1000</f>
        <v>-2393.7111900442087</v>
      </c>
      <c r="AB13" s="75">
        <f>'negyedéves P&amp;L_mérleg'!AB13/AB$2*1000</f>
        <v>88.757076685537825</v>
      </c>
      <c r="AC13" s="136">
        <f>'negyedéves P&amp;L_mérleg'!AC13/AC$2*1000</f>
        <v>1008.8649131096761</v>
      </c>
      <c r="AD13" s="75">
        <f>'negyedéves P&amp;L_mérleg'!AD13/AD$2*1000</f>
        <v>1998.7378564508106</v>
      </c>
      <c r="AE13" s="136">
        <f>'negyedéves P&amp;L_mérleg'!AE13/AE$2*1000</f>
        <v>1883.8329624296373</v>
      </c>
      <c r="AF13" s="75">
        <f>'negyedéves P&amp;L_mérleg'!AF13/AF$2*1000</f>
        <v>40.871738066410778</v>
      </c>
      <c r="AG13" s="136">
        <f>'negyedéves P&amp;L_mérleg'!AG13/AG$2*1000</f>
        <v>-377.09712174849932</v>
      </c>
      <c r="AH13" s="75">
        <f>'negyedéves P&amp;L_mérleg'!AH13/AH$2*1000</f>
        <v>-952.9350131609209</v>
      </c>
      <c r="AI13" s="136">
        <f>'negyedéves P&amp;L_mérleg'!AI13/AI$2*1000</f>
        <v>-1352.2975708502024</v>
      </c>
    </row>
    <row r="14" spans="1:35" outlineLevel="1" x14ac:dyDescent="0.3">
      <c r="B14" s="54" t="s">
        <v>96</v>
      </c>
      <c r="C14" s="54" t="s">
        <v>116</v>
      </c>
      <c r="D14" s="76">
        <f>'negyedéves P&amp;L_mérleg'!D14/D$2*1000</f>
        <v>730.81783830998609</v>
      </c>
      <c r="E14" s="19">
        <f>'negyedéves P&amp;L_mérleg'!E14/E$2*1000</f>
        <v>2593.899434498805</v>
      </c>
      <c r="F14" s="76">
        <f>'negyedéves P&amp;L_mérleg'!F14/F$2*1000</f>
        <v>2379.9544257830216</v>
      </c>
      <c r="G14" s="137" t="e">
        <f>'negyedéves P&amp;L_mérleg'!G14/G$2*1000</f>
        <v>#REF!</v>
      </c>
      <c r="H14" s="76">
        <f>'negyedéves P&amp;L_mérleg'!H14/H$2*1000</f>
        <v>590.5770954570296</v>
      </c>
      <c r="I14" s="137">
        <f>'negyedéves P&amp;L_mérleg'!I14/I$2*1000</f>
        <v>1755.800251528274</v>
      </c>
      <c r="J14" s="76">
        <f>'negyedéves P&amp;L_mérleg'!J14/J$2*1000</f>
        <v>1633.6441645147067</v>
      </c>
      <c r="K14" s="137" t="e">
        <f>'negyedéves P&amp;L_mérleg'!K14/K$2*1000</f>
        <v>#REF!</v>
      </c>
      <c r="L14" s="76">
        <f>'negyedéves P&amp;L_mérleg'!L14/L$2*1000</f>
        <v>169.45919766089185</v>
      </c>
      <c r="M14" s="137">
        <f>'negyedéves P&amp;L_mérleg'!M14/M$2*1000</f>
        <v>2411.3871322955974</v>
      </c>
      <c r="N14" s="76">
        <f>'negyedéves P&amp;L_mérleg'!N14/N$2*1000</f>
        <v>2045.4264141601684</v>
      </c>
      <c r="O14" s="137">
        <f>'negyedéves P&amp;L_mérleg'!O14/O$2*1000</f>
        <v>2180.6209220839114</v>
      </c>
      <c r="P14" s="76">
        <f>'negyedéves P&amp;L_mérleg'!P14/P$2*1000</f>
        <v>1598.584279604778</v>
      </c>
      <c r="Q14" s="137">
        <f>'negyedéves P&amp;L_mérleg'!Q14/Q$2*1000</f>
        <v>4409.4104012748085</v>
      </c>
      <c r="R14" s="76">
        <f>'negyedéves P&amp;L_mérleg'!R14/R$2*1000</f>
        <v>5525.0294514840634</v>
      </c>
      <c r="S14" s="137">
        <f>'negyedéves P&amp;L_mérleg'!S14/S$2*1000</f>
        <v>4088.4158855177752</v>
      </c>
      <c r="T14" s="76">
        <f>'negyedéves P&amp;L_mérleg'!T14/T$2*1000</f>
        <v>3299.4987538078135</v>
      </c>
      <c r="U14" s="137">
        <f>'negyedéves P&amp;L_mérleg'!U14/U$2*1000</f>
        <v>9758.9852008456655</v>
      </c>
      <c r="V14" s="76">
        <f>'negyedéves P&amp;L_mérleg'!V14/V$2*1000</f>
        <v>16775.317188957026</v>
      </c>
      <c r="W14" s="137">
        <f>'negyedéves P&amp;L_mérleg'!W14/W$2*1000</f>
        <v>19726.285841794037</v>
      </c>
      <c r="X14" s="76">
        <f>'negyedéves P&amp;L_mérleg'!X14/X$2*1000</f>
        <v>9143.4457957009872</v>
      </c>
      <c r="Y14" s="137">
        <f>'negyedéves P&amp;L_mérleg'!Y14/Y$2*1000</f>
        <v>25318.207267976646</v>
      </c>
      <c r="Z14" s="76">
        <f>'negyedéves P&amp;L_mérleg'!Z14/Z$2*1000</f>
        <v>34697.191843096509</v>
      </c>
      <c r="AA14" s="137">
        <f>'negyedéves P&amp;L_mérleg'!AA14/AA$2*1000</f>
        <v>40264.436664707537</v>
      </c>
      <c r="AB14" s="76">
        <f>'negyedéves P&amp;L_mérleg'!AB14/AB$2*1000</f>
        <v>17823.839423571815</v>
      </c>
      <c r="AC14" s="137">
        <f>'negyedéves P&amp;L_mérleg'!AC14/AC$2*1000</f>
        <v>29040.337060954491</v>
      </c>
      <c r="AD14" s="76">
        <f>'negyedéves P&amp;L_mérleg'!AD14/AD$2*1000</f>
        <v>36551.451988792593</v>
      </c>
      <c r="AE14" s="137">
        <f>'negyedéves P&amp;L_mérleg'!AE14/AE$2*1000</f>
        <v>41583.005629009036</v>
      </c>
      <c r="AF14" s="76">
        <f>'negyedéves P&amp;L_mérleg'!AF14/AF$2*1000</f>
        <v>8787.575671707149</v>
      </c>
      <c r="AG14" s="137">
        <f>'negyedéves P&amp;L_mérleg'!AG14/AG$2*1000</f>
        <v>18968.346929352014</v>
      </c>
      <c r="AH14" s="76">
        <f>'negyedéves P&amp;L_mérleg'!AH14/AH$2*1000</f>
        <v>27860.742122613796</v>
      </c>
      <c r="AI14" s="137">
        <f>'negyedéves P&amp;L_mérleg'!AI14/AI$2*1000</f>
        <v>32822.790991902832</v>
      </c>
    </row>
    <row r="15" spans="1:35" outlineLevel="1" x14ac:dyDescent="0.3">
      <c r="B15" s="60" t="s">
        <v>97</v>
      </c>
      <c r="C15" s="60" t="s">
        <v>117</v>
      </c>
      <c r="D15" s="98">
        <f>'negyedéves P&amp;L_mérleg'!D15/D$2*1000</f>
        <v>-931.55324318203884</v>
      </c>
      <c r="E15" s="70">
        <f>'negyedéves P&amp;L_mérleg'!E15/E$2*1000</f>
        <v>-697.52102048730046</v>
      </c>
      <c r="F15" s="75">
        <f>'negyedéves P&amp;L_mérleg'!F15/F$2*1000</f>
        <v>-685.44572336424346</v>
      </c>
      <c r="G15" s="136" t="e">
        <f>'negyedéves P&amp;L_mérleg'!G15/G$2*1000</f>
        <v>#REF!</v>
      </c>
      <c r="H15" s="75">
        <f>'negyedéves P&amp;L_mérleg'!H15/H$2*1000</f>
        <v>-164.01656110343055</v>
      </c>
      <c r="I15" s="136">
        <f>'negyedéves P&amp;L_mérleg'!I15/I$2*1000</f>
        <v>-638.60894676515545</v>
      </c>
      <c r="J15" s="75">
        <f>'negyedéves P&amp;L_mérleg'!J15/J$2*1000</f>
        <v>-681.18213138502222</v>
      </c>
      <c r="K15" s="136" t="e">
        <f>'negyedéves P&amp;L_mérleg'!K15/K$2*1000</f>
        <v>#REF!</v>
      </c>
      <c r="L15" s="75">
        <f>'negyedéves P&amp;L_mérleg'!L15/L$2*1000</f>
        <v>-243.69213066306159</v>
      </c>
      <c r="M15" s="136">
        <f>'negyedéves P&amp;L_mérleg'!M15/M$2*1000</f>
        <v>-903.73180272639354</v>
      </c>
      <c r="N15" s="75">
        <f>'negyedéves P&amp;L_mérleg'!N15/N$2*1000</f>
        <v>-922.14382968189125</v>
      </c>
      <c r="O15" s="136">
        <f>'negyedéves P&amp;L_mérleg'!O15/O$2*1000</f>
        <v>-1339.5865099124021</v>
      </c>
      <c r="P15" s="75">
        <f>'negyedéves P&amp;L_mérleg'!P15/P$2*1000</f>
        <v>-448.31145848694882</v>
      </c>
      <c r="Q15" s="136">
        <f>'negyedéves P&amp;L_mérleg'!Q15/Q$2*1000</f>
        <v>-1326.9592930609881</v>
      </c>
      <c r="R15" s="75">
        <f>'negyedéves P&amp;L_mérleg'!R15/R$2*1000</f>
        <v>-2128.6814355084334</v>
      </c>
      <c r="S15" s="136">
        <f>'negyedéves P&amp;L_mérleg'!S15/S$2*1000</f>
        <v>-2450.6628210105941</v>
      </c>
      <c r="T15" s="75">
        <f>'negyedéves P&amp;L_mérleg'!T15/T$2*1000</f>
        <v>-731.8388258100249</v>
      </c>
      <c r="U15" s="136">
        <f>'negyedéves P&amp;L_mérleg'!U15/U$2*1000</f>
        <v>-1809.7251585623678</v>
      </c>
      <c r="V15" s="75">
        <f>'negyedéves P&amp;L_mérleg'!V15/V$2*1000</f>
        <v>-2910.7151939868327</v>
      </c>
      <c r="W15" s="136">
        <f>'negyedéves P&amp;L_mérleg'!W15/W$2*1000</f>
        <v>-3388.4246346089481</v>
      </c>
      <c r="X15" s="75">
        <f>'negyedéves P&amp;L_mérleg'!X15/X$2*1000</f>
        <v>-1455.2008125840723</v>
      </c>
      <c r="Y15" s="136">
        <f>'negyedéves P&amp;L_mérleg'!Y15/Y$2*1000</f>
        <v>-3799.2907990508438</v>
      </c>
      <c r="Z15" s="75">
        <f>'negyedéves P&amp;L_mérleg'!Z15/Z$2*1000</f>
        <v>-5576.2098973892707</v>
      </c>
      <c r="AA15" s="136">
        <f>'negyedéves P&amp;L_mérleg'!AA15/AA$2*1000</f>
        <v>-7444.9799402039198</v>
      </c>
      <c r="AB15" s="75">
        <f>'negyedéves P&amp;L_mérleg'!AB15/AB$2*1000</f>
        <v>-3167.7020072053524</v>
      </c>
      <c r="AC15" s="136">
        <f>'negyedéves P&amp;L_mérleg'!AC15/AC$2*1000</f>
        <v>-5748.8922139969554</v>
      </c>
      <c r="AD15" s="75">
        <f>'negyedéves P&amp;L_mérleg'!AD15/AD$2*1000</f>
        <v>-6968.7135038885554</v>
      </c>
      <c r="AE15" s="136">
        <f>'negyedéves P&amp;L_mérleg'!AE15/AE$2*1000</f>
        <v>-8169.9568006283534</v>
      </c>
      <c r="AF15" s="75">
        <f>'negyedéves P&amp;L_mérleg'!AF15/AF$2*1000</f>
        <v>-2026.2139673871045</v>
      </c>
      <c r="AG15" s="136">
        <f>'negyedéves P&amp;L_mérleg'!AG15/AG$2*1000</f>
        <v>-3968.498281258017</v>
      </c>
      <c r="AH15" s="75">
        <f>'negyedéves P&amp;L_mérleg'!AH15/AH$2*1000</f>
        <v>-5986.6167488691835</v>
      </c>
      <c r="AI15" s="136">
        <f>'negyedéves P&amp;L_mérleg'!AI15/AI$2*1000</f>
        <v>-8470.4251012145742</v>
      </c>
    </row>
    <row r="16" spans="1:35" outlineLevel="1" x14ac:dyDescent="0.3">
      <c r="B16" s="200" t="s">
        <v>264</v>
      </c>
      <c r="C16" s="201" t="s">
        <v>265</v>
      </c>
      <c r="D16" s="98">
        <f>'negyedéves P&amp;L_mérleg'!D16/D$2*1000</f>
        <v>0</v>
      </c>
      <c r="E16" s="70">
        <f>'negyedéves P&amp;L_mérleg'!E16/E$2*1000</f>
        <v>0</v>
      </c>
      <c r="F16" s="75">
        <f>'negyedéves P&amp;L_mérleg'!F16/F$2*1000</f>
        <v>0</v>
      </c>
      <c r="G16" s="136" t="e">
        <f>'negyedéves P&amp;L_mérleg'!G16/G$2*1000</f>
        <v>#REF!</v>
      </c>
      <c r="H16" s="75">
        <f>'negyedéves P&amp;L_mérleg'!H16/H$2*1000</f>
        <v>0</v>
      </c>
      <c r="I16" s="136">
        <f>'negyedéves P&amp;L_mérleg'!I16/I$2*1000</f>
        <v>0</v>
      </c>
      <c r="J16" s="75">
        <f>'negyedéves P&amp;L_mérleg'!J16/J$2*1000</f>
        <v>0</v>
      </c>
      <c r="K16" s="136" t="e">
        <f>'negyedéves P&amp;L_mérleg'!K16/K$2*1000</f>
        <v>#REF!</v>
      </c>
      <c r="L16" s="75">
        <f>'negyedéves P&amp;L_mérleg'!L16/L$2*1000</f>
        <v>0</v>
      </c>
      <c r="M16" s="136">
        <f>'negyedéves P&amp;L_mérleg'!M16/M$2*1000</f>
        <v>0</v>
      </c>
      <c r="N16" s="75">
        <f>'negyedéves P&amp;L_mérleg'!N16/N$2*1000</f>
        <v>0</v>
      </c>
      <c r="O16" s="136">
        <f>'negyedéves P&amp;L_mérleg'!O16/O$2*1000</f>
        <v>0</v>
      </c>
      <c r="P16" s="75">
        <f>'negyedéves P&amp;L_mérleg'!P16/P$2*1000</f>
        <v>-380.47485621589732</v>
      </c>
      <c r="Q16" s="136">
        <f>'negyedéves P&amp;L_mérleg'!Q16/Q$2*1000</f>
        <v>0</v>
      </c>
      <c r="R16" s="75">
        <f>'negyedéves P&amp;L_mérleg'!R16/R$2*1000</f>
        <v>0</v>
      </c>
      <c r="S16" s="136">
        <f>'negyedéves P&amp;L_mérleg'!S16/S$2*1000</f>
        <v>-1.3311886405236009</v>
      </c>
      <c r="T16" s="75">
        <f>'negyedéves P&amp;L_mérleg'!T16/T$2*1000</f>
        <v>0</v>
      </c>
      <c r="U16" s="136">
        <f>'negyedéves P&amp;L_mérleg'!U16/U$2*1000</f>
        <v>0</v>
      </c>
      <c r="V16" s="75">
        <f>'negyedéves P&amp;L_mérleg'!V16/V$2*1000</f>
        <v>0</v>
      </c>
      <c r="W16" s="136">
        <f>'negyedéves P&amp;L_mérleg'!W16/W$2*1000</f>
        <v>0</v>
      </c>
      <c r="X16" s="75">
        <f>'negyedéves P&amp;L_mérleg'!X16/X$2*1000</f>
        <v>0</v>
      </c>
      <c r="Y16" s="136">
        <f>'negyedéves P&amp;L_mérleg'!Y16/Y$2*1000</f>
        <v>0</v>
      </c>
      <c r="Z16" s="75">
        <f>'negyedéves P&amp;L_mérleg'!Z16/Z$2*1000</f>
        <v>0</v>
      </c>
      <c r="AA16" s="136">
        <f>'negyedéves P&amp;L_mérleg'!AA16/AA$2*1000</f>
        <v>-3089.4130273682058</v>
      </c>
      <c r="AB16" s="75">
        <f>'negyedéves P&amp;L_mérleg'!AB16/AB$2*1000</f>
        <v>0</v>
      </c>
      <c r="AC16" s="136">
        <f>'negyedéves P&amp;L_mérleg'!AC16/AC$2*1000</f>
        <v>0</v>
      </c>
      <c r="AD16" s="75">
        <f>'negyedéves P&amp;L_mérleg'!AD16/AD$2*1000</f>
        <v>0</v>
      </c>
      <c r="AE16" s="136">
        <f>'negyedéves P&amp;L_mérleg'!AE16/AE$2*1000</f>
        <v>0</v>
      </c>
      <c r="AF16" s="75">
        <f>'negyedéves P&amp;L_mérleg'!AF16/AF$2*1000</f>
        <v>0</v>
      </c>
      <c r="AG16" s="136">
        <f>'negyedéves P&amp;L_mérleg'!AG16/AG$2*1000</f>
        <v>0</v>
      </c>
      <c r="AH16" s="75">
        <f>'negyedéves P&amp;L_mérleg'!AH16/AH$2*1000</f>
        <v>0</v>
      </c>
      <c r="AI16" s="136">
        <f>'negyedéves P&amp;L_mérleg'!AI16/AI$2*1000</f>
        <v>0</v>
      </c>
    </row>
    <row r="17" spans="1:35" ht="28.8" outlineLevel="1" x14ac:dyDescent="0.3">
      <c r="B17" s="54" t="s">
        <v>98</v>
      </c>
      <c r="C17" s="54" t="s">
        <v>118</v>
      </c>
      <c r="D17" s="76">
        <f>'negyedéves P&amp;L_mérleg'!D17/D$2*1000</f>
        <v>-200.73540487205273</v>
      </c>
      <c r="E17" s="19">
        <f>'negyedéves P&amp;L_mérleg'!E17/E$2*1000</f>
        <v>1896.3784140115042</v>
      </c>
      <c r="F17" s="76">
        <f>'negyedéves P&amp;L_mérleg'!F17/F$2*1000</f>
        <v>1694.5087024187778</v>
      </c>
      <c r="G17" s="137" t="e">
        <f>'negyedéves P&amp;L_mérleg'!G17/G$2*1000</f>
        <v>#REF!</v>
      </c>
      <c r="H17" s="76">
        <f>'negyedéves P&amp;L_mérleg'!H17/H$2*1000</f>
        <v>426.56053435359911</v>
      </c>
      <c r="I17" s="137">
        <f>'negyedéves P&amp;L_mérleg'!I17/I$2*1000</f>
        <v>1117.1913047631188</v>
      </c>
      <c r="J17" s="76">
        <f>'negyedéves P&amp;L_mérleg'!J17/J$2*1000</f>
        <v>954.2104931662152</v>
      </c>
      <c r="K17" s="137" t="e">
        <f>'negyedéves P&amp;L_mérleg'!K17/K$2*1000</f>
        <v>#REF!</v>
      </c>
      <c r="L17" s="76">
        <f>'negyedéves P&amp;L_mérleg'!L17/L$2*1000</f>
        <v>-74.232933002169759</v>
      </c>
      <c r="M17" s="137">
        <f>'negyedéves P&amp;L_mérleg'!M17/M$2*1000</f>
        <v>1507.6553295692038</v>
      </c>
      <c r="N17" s="76">
        <f>'negyedéves P&amp;L_mérleg'!N17/N$2*1000</f>
        <v>1123.2825844782769</v>
      </c>
      <c r="O17" s="137">
        <f>'negyedéves P&amp;L_mérleg'!O17/O$2*1000</f>
        <v>841.03441217150919</v>
      </c>
      <c r="P17" s="76">
        <f>'negyedéves P&amp;L_mérleg'!P17/P$2*1000</f>
        <v>1150.2728211178292</v>
      </c>
      <c r="Q17" s="137">
        <f>'negyedéves P&amp;L_mérleg'!Q17/Q$2*1000</f>
        <v>3082.451108213821</v>
      </c>
      <c r="R17" s="76">
        <f>'negyedéves P&amp;L_mérleg'!R17/R$2*1000</f>
        <v>3396.34801597563</v>
      </c>
      <c r="S17" s="137">
        <f>'negyedéves P&amp;L_mérleg'!S17/S$2*1000</f>
        <v>1637.7530645071811</v>
      </c>
      <c r="T17" s="76">
        <f>'negyedéves P&amp;L_mérleg'!T17/T$2*1000</f>
        <v>2567.6599279977881</v>
      </c>
      <c r="U17" s="137">
        <f>'negyedéves P&amp;L_mérleg'!U17/U$2*1000</f>
        <v>7949.2600422832984</v>
      </c>
      <c r="V17" s="76">
        <f>'negyedéves P&amp;L_mérleg'!V17/V$2*1000</f>
        <v>13865.890530955949</v>
      </c>
      <c r="W17" s="137">
        <f>'negyedéves P&amp;L_mérleg'!W17/W$2*1000</f>
        <v>16337.861207185097</v>
      </c>
      <c r="X17" s="76">
        <f>'negyedéves P&amp;L_mérleg'!X17/X$2*1000</f>
        <v>7688.244983116916</v>
      </c>
      <c r="Y17" s="137">
        <f>'negyedéves P&amp;L_mérleg'!Y17/Y$2*1000</f>
        <v>21518.916468925803</v>
      </c>
      <c r="Z17" s="76">
        <f>'negyedéves P&amp;L_mérleg'!Z17/Z$2*1000</f>
        <v>29120.981945707241</v>
      </c>
      <c r="AA17" s="137">
        <f>'negyedéves P&amp;L_mérleg'!AA17/AA$2*1000</f>
        <v>32819.456724503616</v>
      </c>
      <c r="AB17" s="76">
        <f>'negyedéves P&amp;L_mérleg'!AB17/AB$2*1000</f>
        <v>14655.172413793103</v>
      </c>
      <c r="AC17" s="137">
        <f>'negyedéves P&amp;L_mérleg'!AC17/AC$2*1000</f>
        <v>23291.444846957536</v>
      </c>
      <c r="AD17" s="76">
        <f>'negyedéves P&amp;L_mérleg'!AD17/AD$2*1000</f>
        <v>29582.738484904039</v>
      </c>
      <c r="AE17" s="137">
        <f>'negyedéves P&amp;L_mérleg'!AE17/AE$2*1000</f>
        <v>33413.048828380684</v>
      </c>
      <c r="AF17" s="76">
        <f>'negyedéves P&amp;L_mérleg'!AF17/AF$2*1000</f>
        <v>6761.3617043200438</v>
      </c>
      <c r="AG17" s="137">
        <f>'negyedéves P&amp;L_mérleg'!AG17/AG$2*1000</f>
        <v>14999.848648093996</v>
      </c>
      <c r="AH17" s="76">
        <f>'negyedéves P&amp;L_mérleg'!AH17/AH$2*1000</f>
        <v>21874.125373744617</v>
      </c>
      <c r="AI17" s="137">
        <f>'negyedéves P&amp;L_mérleg'!AI17/AI$2*1000</f>
        <v>24352.365890688263</v>
      </c>
    </row>
    <row r="18" spans="1:35" outlineLevel="1" x14ac:dyDescent="0.3">
      <c r="B18" s="61" t="s">
        <v>99</v>
      </c>
      <c r="C18" s="60" t="s">
        <v>119</v>
      </c>
      <c r="D18" s="98">
        <f>'negyedéves P&amp;L_mérleg'!D18/D$2*1000</f>
        <v>-199.30445148976091</v>
      </c>
      <c r="E18" s="70">
        <f>'negyedéves P&amp;L_mérleg'!E18/E$2*1000</f>
        <v>1901.1401893621148</v>
      </c>
      <c r="F18" s="75">
        <f>'negyedéves P&amp;L_mérleg'!F18/F$2*1000</f>
        <v>1700.395692886324</v>
      </c>
      <c r="G18" s="136" t="e">
        <f>'negyedéves P&amp;L_mérleg'!G18/G$2*1000</f>
        <v>#REF!</v>
      </c>
      <c r="H18" s="75">
        <f>'negyedéves P&amp;L_mérleg'!H18/H$2*1000</f>
        <v>427.50271870880624</v>
      </c>
      <c r="I18" s="136">
        <f>'negyedéves P&amp;L_mérleg'!I18/I$2*1000</f>
        <v>1120.1487678298522</v>
      </c>
      <c r="J18" s="75">
        <f>'negyedéves P&amp;L_mérleg'!J18/J$2*1000</f>
        <v>957.35970271461861</v>
      </c>
      <c r="K18" s="136" t="e">
        <f>'negyedéves P&amp;L_mérleg'!K18/K$2*1000</f>
        <v>#REF!</v>
      </c>
      <c r="L18" s="75">
        <f>'negyedéves P&amp;L_mérleg'!L18/L$2*1000</f>
        <v>-73.390970541075859</v>
      </c>
      <c r="M18" s="136">
        <f>'negyedéves P&amp;L_mérleg'!M18/M$2*1000</f>
        <v>1508.4907258945004</v>
      </c>
      <c r="N18" s="75">
        <f>'negyedéves P&amp;L_mérleg'!N18/N$2*1000</f>
        <v>1129.4714692412426</v>
      </c>
      <c r="O18" s="136">
        <f>'negyedéves P&amp;L_mérleg'!O18/O$2*1000</f>
        <v>832.07790379590631</v>
      </c>
      <c r="P18" s="75">
        <f>'negyedéves P&amp;L_mérleg'!P18/P$2*1000</f>
        <v>1147.3234036277836</v>
      </c>
      <c r="Q18" s="136">
        <f>'negyedéves P&amp;L_mérleg'!Q18/Q$2*1000</f>
        <v>3076.9230769230771</v>
      </c>
      <c r="R18" s="75">
        <f>'negyedéves P&amp;L_mérleg'!R18/R$2*1000</f>
        <v>3378.6426457489297</v>
      </c>
      <c r="S18" s="136">
        <f>'negyedéves P&amp;L_mérleg'!S18/S$2*1000</f>
        <v>1626.9981696156192</v>
      </c>
      <c r="T18" s="75">
        <f>'negyedéves P&amp;L_mérleg'!T18/T$2*1000</f>
        <v>2559.6953752423151</v>
      </c>
      <c r="U18" s="136">
        <f>'negyedéves P&amp;L_mérleg'!U18/U$2*1000</f>
        <v>7943.6222692036645</v>
      </c>
      <c r="V18" s="75">
        <f>'negyedéves P&amp;L_mérleg'!V18/V$2*1000</f>
        <v>13857.413320523327</v>
      </c>
      <c r="W18" s="136">
        <f>'negyedéves P&amp;L_mérleg'!W18/W$2*1000</f>
        <v>16331.540778757113</v>
      </c>
      <c r="X18" s="75">
        <f>'negyedéves P&amp;L_mérleg'!X18/X$2*1000</f>
        <v>7683.6851785763311</v>
      </c>
      <c r="Y18" s="136">
        <f>'negyedéves P&amp;L_mérleg'!Y18/Y$2*1000</f>
        <v>21507.985176100461</v>
      </c>
      <c r="Z18" s="75">
        <f>'negyedéves P&amp;L_mérleg'!Z18/Z$2*1000</f>
        <v>29106.406026756722</v>
      </c>
      <c r="AA18" s="136">
        <f>'negyedéves P&amp;L_mérleg'!AA18/AA$2*1000</f>
        <v>32933.567577236601</v>
      </c>
      <c r="AB18" s="75">
        <f>'negyedéves P&amp;L_mérleg'!AB18/AB$2*1000</f>
        <v>14781.626351003602</v>
      </c>
      <c r="AC18" s="136">
        <f>'negyedéves P&amp;L_mérleg'!AC18/AC$2*1000</f>
        <v>23523.113876200976</v>
      </c>
      <c r="AD18" s="75">
        <f>'negyedéves P&amp;L_mérleg'!AD18/AD$2*1000</f>
        <v>29764.170310822486</v>
      </c>
      <c r="AE18" s="136">
        <f>'negyedéves P&amp;L_mérleg'!AE18/AE$2*1000</f>
        <v>33521.345725880354</v>
      </c>
      <c r="AF18" s="75">
        <f>'negyedéves P&amp;L_mérleg'!AF18/AF$2*1000</f>
        <v>6567.0393364074289</v>
      </c>
      <c r="AG18" s="136">
        <f>'negyedéves P&amp;L_mérleg'!AG18/AG$2*1000</f>
        <v>14578.523421066133</v>
      </c>
      <c r="AH18" s="75">
        <f>'negyedéves P&amp;L_mérleg'!AH18/AH$2*1000</f>
        <v>21337.302905624696</v>
      </c>
      <c r="AI18" s="136">
        <f>'negyedéves P&amp;L_mérleg'!AI18/AI$2*1000</f>
        <v>24352.226720647774</v>
      </c>
    </row>
    <row r="19" spans="1:35" ht="28.8" outlineLevel="1" x14ac:dyDescent="0.3">
      <c r="B19" s="62" t="s">
        <v>120</v>
      </c>
      <c r="C19" s="62" t="s">
        <v>121</v>
      </c>
      <c r="D19" s="99">
        <f>'negyedéves P&amp;L_mérleg'!D19/D$2*1000</f>
        <v>-1.4309533822917975</v>
      </c>
      <c r="E19" s="71">
        <f>'negyedéves P&amp;L_mérleg'!E19/E$2*1000</f>
        <v>-4.7617753506106526</v>
      </c>
      <c r="F19" s="77">
        <f>'negyedéves P&amp;L_mérleg'!F19/F$2*1000</f>
        <v>-5.8869904675460631</v>
      </c>
      <c r="G19" s="138" t="e">
        <f>'negyedéves P&amp;L_mérleg'!G19/G$2*1000</f>
        <v>#REF!</v>
      </c>
      <c r="H19" s="77">
        <f>'negyedéves P&amp;L_mérleg'!H19/H$2*1000</f>
        <v>-0.94218435520714872</v>
      </c>
      <c r="I19" s="138">
        <f>'negyedéves P&amp;L_mérleg'!I19/I$2*1000</f>
        <v>-2.9574630667336606</v>
      </c>
      <c r="J19" s="77">
        <f>'negyedéves P&amp;L_mérleg'!J19/J$2*1000</f>
        <v>-2.2507148705639506</v>
      </c>
      <c r="K19" s="138" t="e">
        <f>'negyedéves P&amp;L_mérleg'!K19/K$2*1000</f>
        <v>#REF!</v>
      </c>
      <c r="L19" s="77">
        <f>'negyedéves P&amp;L_mérleg'!L19/L$2*1000</f>
        <v>-0.84196246109389661</v>
      </c>
      <c r="M19" s="138">
        <f>'negyedéves P&amp;L_mérleg'!M19/M$2*1000</f>
        <v>-0.83539632529650032</v>
      </c>
      <c r="N19" s="77">
        <f>'negyedéves P&amp;L_mérleg'!N19/N$2*1000</f>
        <v>-6.1888847629657127</v>
      </c>
      <c r="O19" s="138">
        <f>'negyedéves P&amp;L_mérleg'!O19/O$2*1000</f>
        <v>8.9565083755955133</v>
      </c>
      <c r="P19" s="77">
        <f>'negyedéves P&amp;L_mérleg'!P19/P$2*1000</f>
        <v>5.8988349800914319</v>
      </c>
      <c r="Q19" s="138">
        <f>'negyedéves P&amp;L_mérleg'!Q19/Q$2*1000</f>
        <v>5.7945820657685063</v>
      </c>
      <c r="R19" s="77">
        <f>'negyedéves P&amp;L_mérleg'!R19/R$2*1000</f>
        <v>17.705370226704595</v>
      </c>
      <c r="S19" s="138">
        <f>'negyedéves P&amp;L_mérleg'!S19/S$2*1000</f>
        <v>10.754894891563593</v>
      </c>
      <c r="T19" s="77">
        <f>'negyedéves P&amp;L_mérleg'!T19/T$2*1000</f>
        <v>7.9645527554693984</v>
      </c>
      <c r="U19" s="138">
        <f>'negyedéves P&amp;L_mérleg'!U19/U$2*1000</f>
        <v>5.6377730796335452</v>
      </c>
      <c r="V19" s="77">
        <f>'negyedéves P&amp;L_mérleg'!V19/V$2*1000</f>
        <v>5.6514736217468711</v>
      </c>
      <c r="W19" s="138">
        <f>'negyedéves P&amp;L_mérleg'!W19/W$2*1000</f>
        <v>6.3204284279817022</v>
      </c>
      <c r="X19" s="77">
        <f>'negyedéves P&amp;L_mérleg'!X19/X$2*1000</f>
        <v>4.5598045405880256</v>
      </c>
      <c r="Y19" s="138">
        <f>'negyedéves P&amp;L_mérleg'!Y19/Y$2*1000</f>
        <v>10.664675927160264</v>
      </c>
      <c r="Z19" s="77">
        <f>'negyedéves P&amp;L_mérleg'!Z19/Z$2*1000</f>
        <v>14.575918950513055</v>
      </c>
      <c r="AA19" s="138">
        <f>'negyedéves P&amp;L_mérleg'!AA19/AA$2*1000</f>
        <v>-113.97541716709682</v>
      </c>
      <c r="AB19" s="77">
        <f>'negyedéves P&amp;L_mérleg'!AB19/AB$2*1000</f>
        <v>-125.48893463715902</v>
      </c>
      <c r="AC19" s="138">
        <f>'negyedéves P&amp;L_mérleg'!AC19/AC$2*1000</f>
        <v>-231.66902924345041</v>
      </c>
      <c r="AD19" s="77">
        <f>'negyedéves P&amp;L_mérleg'!AD19/AD$2*1000</f>
        <v>-181.43182591845823</v>
      </c>
      <c r="AE19" s="138">
        <f>'negyedéves P&amp;L_mérleg'!AE19/AE$2*1000</f>
        <v>-108.29689749967272</v>
      </c>
      <c r="AF19" s="77">
        <f>'negyedéves P&amp;L_mérleg'!AF19/AF$2*1000</f>
        <v>194.32236791262011</v>
      </c>
      <c r="AG19" s="138">
        <f>'negyedéves P&amp;L_mérleg'!AG19/AG$2*1000</f>
        <v>420.70699297111486</v>
      </c>
      <c r="AH19" s="77">
        <f>'negyedéves P&amp;L_mérleg'!AH19/AH$2*1000</f>
        <v>536.8224681199049</v>
      </c>
      <c r="AI19" s="138">
        <f>'negyedéves P&amp;L_mérleg'!AI19/AI$2*1000</f>
        <v>0</v>
      </c>
    </row>
    <row r="20" spans="1:35" ht="15" outlineLevel="1" thickBot="1" x14ac:dyDescent="0.35">
      <c r="B20" s="60" t="s">
        <v>122</v>
      </c>
      <c r="C20" s="60" t="s">
        <v>123</v>
      </c>
      <c r="D20" s="98">
        <f>'negyedéves P&amp;L_mérleg'!D20/D$2*1000</f>
        <v>-1167.208873863673</v>
      </c>
      <c r="E20" s="70">
        <f>'negyedéves P&amp;L_mérleg'!E20/E$2*1000</f>
        <v>-1911.1635591029537</v>
      </c>
      <c r="F20" s="75">
        <f>'negyedéves P&amp;L_mérleg'!F20/F$2*1000</f>
        <v>-1389.7830101809218</v>
      </c>
      <c r="G20" s="136" t="e">
        <f>'negyedéves P&amp;L_mérleg'!G20/G$2*1000</f>
        <v>#REF!</v>
      </c>
      <c r="H20" s="75">
        <f>'negyedéves P&amp;L_mérleg'!H20/H$2*1000</f>
        <v>-276.63511236858187</v>
      </c>
      <c r="I20" s="136">
        <f>'negyedéves P&amp;L_mérleg'!I20/I$2*1000</f>
        <v>1025.571892511462</v>
      </c>
      <c r="J20" s="75">
        <f>'negyedéves P&amp;L_mérleg'!J20/J$2*1000</f>
        <v>1014.3969893556717</v>
      </c>
      <c r="K20" s="136" t="e">
        <f>'negyedéves P&amp;L_mérleg'!K20/K$2*1000</f>
        <v>#REF!</v>
      </c>
      <c r="L20" s="75">
        <f>'negyedéves P&amp;L_mérleg'!L20/L$2*1000</f>
        <v>-3336.7253214701163</v>
      </c>
      <c r="M20" s="136">
        <f>'negyedéves P&amp;L_mérleg'!M20/M$2*1000</f>
        <v>-3310.7035062544837</v>
      </c>
      <c r="N20" s="75">
        <f>'negyedéves P&amp;L_mérleg'!N20/N$2*1000</f>
        <v>-3227.5034038866193</v>
      </c>
      <c r="O20" s="136">
        <f>'negyedéves P&amp;L_mérleg'!O20/O$2*1000</f>
        <v>-4351.1602889196256</v>
      </c>
      <c r="P20" s="75">
        <f>'negyedéves P&amp;L_mérleg'!P20/P$2*1000</f>
        <v>471.90679840731451</v>
      </c>
      <c r="Q20" s="136">
        <f>'negyedéves P&amp;L_mérleg'!Q20/Q$2*1000</f>
        <v>2238.4731276256703</v>
      </c>
      <c r="R20" s="75">
        <f>'negyedéves P&amp;L_mérleg'!R20/R$2*1000</f>
        <v>5075.303853116111</v>
      </c>
      <c r="S20" s="136">
        <f>'negyedéves P&amp;L_mérleg'!S20/S$2*1000</f>
        <v>5863.5864440623436</v>
      </c>
      <c r="T20" s="75">
        <f>'negyedéves P&amp;L_mérleg'!T20/T$2*1000</f>
        <v>1240.346164497369</v>
      </c>
      <c r="U20" s="136">
        <f>'negyedéves P&amp;L_mérleg'!U20/U$2*1000</f>
        <v>8577.8717406624382</v>
      </c>
      <c r="V20" s="75">
        <f>'negyedéves P&amp;L_mérleg'!V20/V$2*1000</f>
        <v>30628.161293057165</v>
      </c>
      <c r="W20" s="136">
        <f>'negyedéves P&amp;L_mérleg'!W20/W$2*1000</f>
        <v>13685.791587638068</v>
      </c>
      <c r="X20" s="75">
        <f>'negyedéves P&amp;L_mérleg'!X20/X$2*1000</f>
        <v>9492.3463365086336</v>
      </c>
      <c r="Y20" s="136">
        <f>'negyedéves P&amp;L_mérleg'!Y20/Y$2*1000</f>
        <v>11555.176367078146</v>
      </c>
      <c r="Z20" s="75">
        <f>'negyedéves P&amp;L_mérleg'!Z20/Z$2*1000</f>
        <v>19049.22717236005</v>
      </c>
      <c r="AA20" s="136">
        <f>'negyedéves P&amp;L_mérleg'!AA20/AA$2*1000</f>
        <v>-8272.2663736488394</v>
      </c>
      <c r="AB20" s="75">
        <f>'negyedéves P&amp;L_mérleg'!AB20/AB$2*1000</f>
        <v>-3930.4246011322698</v>
      </c>
      <c r="AC20" s="136">
        <f>'negyedéves P&amp;L_mérleg'!AC20/AC$2*1000</f>
        <v>-4844.2668136714437</v>
      </c>
      <c r="AD20" s="75">
        <f>'negyedéves P&amp;L_mérleg'!AD20/AD$2*1000</f>
        <v>-5698.5336091544696</v>
      </c>
      <c r="AE20" s="136">
        <f>'negyedéves P&amp;L_mérleg'!AE20/AE$2*1000</f>
        <v>-11672.389056159185</v>
      </c>
      <c r="AF20" s="75">
        <f>'negyedéves P&amp;L_mérleg'!AF20/AF$2*1000</f>
        <v>3237.579535794328</v>
      </c>
      <c r="AG20" s="136">
        <f>'negyedéves P&amp;L_mérleg'!AG20/AG$2*1000</f>
        <v>4997.1781848032424</v>
      </c>
      <c r="AH20" s="75">
        <f>'negyedéves P&amp;L_mérleg'!AH20/AH$2*1000</f>
        <v>4952.8302368965788</v>
      </c>
      <c r="AI20" s="136">
        <f>'negyedéves P&amp;L_mérleg'!AI20/AI$2*1000</f>
        <v>9779.8582995951419</v>
      </c>
    </row>
    <row r="21" spans="1:35" ht="30" outlineLevel="1" thickTop="1" thickBot="1" x14ac:dyDescent="0.35">
      <c r="B21" s="55" t="s">
        <v>100</v>
      </c>
      <c r="C21" s="55" t="s">
        <v>124</v>
      </c>
      <c r="D21" s="78">
        <f>'negyedéves P&amp;L_mérleg'!D21/D$2*1000</f>
        <v>-1367.9442787357257</v>
      </c>
      <c r="E21" s="25">
        <f>'negyedéves P&amp;L_mérleg'!E21/E$2*1000</f>
        <v>-14.785145091449357</v>
      </c>
      <c r="F21" s="78">
        <f>'negyedéves P&amp;L_mérleg'!F21/F$2*1000</f>
        <v>304.72569223785592</v>
      </c>
      <c r="G21" s="139" t="e">
        <f>'negyedéves P&amp;L_mérleg'!G21/G$2*1000</f>
        <v>#REF!</v>
      </c>
      <c r="H21" s="78">
        <f>'negyedéves P&amp;L_mérleg'!H21/H$2*1000</f>
        <v>149.92542198501727</v>
      </c>
      <c r="I21" s="139">
        <f>'negyedéves P&amp;L_mérleg'!I21/I$2*1000</f>
        <v>2142.7631972745808</v>
      </c>
      <c r="J21" s="78">
        <f>'negyedéves P&amp;L_mérleg'!J21/J$2*1000</f>
        <v>1968.6074825218868</v>
      </c>
      <c r="K21" s="139" t="e">
        <f>'negyedéves P&amp;L_mérleg'!K21/K$2*1000</f>
        <v>#REF!</v>
      </c>
      <c r="L21" s="78">
        <f>'negyedéves P&amp;L_mérleg'!L21/L$2*1000</f>
        <v>-3410.9582544722862</v>
      </c>
      <c r="M21" s="139">
        <f>'negyedéves P&amp;L_mérleg'!M21/M$2*1000</f>
        <v>-1803.0481766852802</v>
      </c>
      <c r="N21" s="78">
        <f>'negyedéves P&amp;L_mérleg'!N21/N$2*1000</f>
        <v>-2104.2208194083423</v>
      </c>
      <c r="O21" s="139">
        <f>'negyedéves P&amp;L_mérleg'!O21/O$2*1000</f>
        <v>-3510.1258767481158</v>
      </c>
      <c r="P21" s="78">
        <f>'negyedéves P&amp;L_mérleg'!P21/P$2*1000</f>
        <v>1622.1796195251436</v>
      </c>
      <c r="Q21" s="139">
        <f>'negyedéves P&amp;L_mérleg'!Q21/Q$2*1000</f>
        <v>5320.9242358394904</v>
      </c>
      <c r="R21" s="78">
        <f>'negyedéves P&amp;L_mérleg'!R21/R$2*1000</f>
        <v>8471.6518690917401</v>
      </c>
      <c r="S21" s="139">
        <f>'negyedéves P&amp;L_mérleg'!S21/S$2*1000</f>
        <v>7501.3395085695247</v>
      </c>
      <c r="T21" s="78">
        <f>'negyedéves P&amp;L_mérleg'!T21/T$2*1000</f>
        <v>3808.0060924951572</v>
      </c>
      <c r="U21" s="139">
        <f>'negyedéves P&amp;L_mérleg'!U21/U$2*1000</f>
        <v>16527.131782945737</v>
      </c>
      <c r="V21" s="78">
        <f>'negyedéves P&amp;L_mérleg'!V21/V$2*1000</f>
        <v>44494.051824013113</v>
      </c>
      <c r="W21" s="139">
        <f>'negyedéves P&amp;L_mérleg'!W21/W$2*1000</f>
        <v>30023.652794823163</v>
      </c>
      <c r="X21" s="78">
        <f>'negyedéves P&amp;L_mérleg'!X21/X$2*1000</f>
        <v>17180.59131962555</v>
      </c>
      <c r="Y21" s="139">
        <f>'negyedéves P&amp;L_mérleg'!Y21/Y$2*1000</f>
        <v>33074.092836003947</v>
      </c>
      <c r="Z21" s="78">
        <f>'negyedéves P&amp;L_mérleg'!Z21/Z$2*1000</f>
        <v>48169.892193791406</v>
      </c>
      <c r="AA21" s="139">
        <f>'negyedéves P&amp;L_mérleg'!AA21/AA$2*1000</f>
        <v>24547.19035085478</v>
      </c>
      <c r="AB21" s="78">
        <f>'negyedéves P&amp;L_mérleg'!AB21/AB$2*1000</f>
        <v>10725.681935151826</v>
      </c>
      <c r="AC21" s="139">
        <f>'negyedéves P&amp;L_mérleg'!AC21/AC$2*1000</f>
        <v>18447.178033286094</v>
      </c>
      <c r="AD21" s="78">
        <f>'negyedéves P&amp;L_mérleg'!AD21/AD$2*1000</f>
        <v>23884.204875749572</v>
      </c>
      <c r="AE21" s="139">
        <f>'negyedéves P&amp;L_mérleg'!AE21/AE$2*1000</f>
        <v>21740.659772221497</v>
      </c>
      <c r="AF21" s="78">
        <f>'negyedéves P&amp;L_mérleg'!AF21/AF$2*1000</f>
        <v>9997.6815476957163</v>
      </c>
      <c r="AG21" s="139">
        <f>'negyedéves P&amp;L_mérleg'!AG21/AG$2*1000</f>
        <v>19997.026832897242</v>
      </c>
      <c r="AH21" s="78">
        <f>'negyedéves P&amp;L_mérleg'!AH21/AH$2*1000</f>
        <v>26826.955610641195</v>
      </c>
      <c r="AI21" s="139">
        <f>'negyedéves P&amp;L_mérleg'!AI21/AI$2*1000</f>
        <v>34132.224190283399</v>
      </c>
    </row>
    <row r="22" spans="1:35" ht="15" outlineLevel="1" thickTop="1" x14ac:dyDescent="0.3">
      <c r="B22" s="60" t="s">
        <v>99</v>
      </c>
      <c r="C22" s="60" t="s">
        <v>119</v>
      </c>
      <c r="D22" s="98">
        <f>'negyedéves P&amp;L_mérleg'!D22/D$2*1000</f>
        <v>-1366.5133253534341</v>
      </c>
      <c r="E22" s="70">
        <f>'negyedéves P&amp;L_mérleg'!E22/E$2*1000</f>
        <v>-10.023369740838881</v>
      </c>
      <c r="F22" s="75">
        <f>'negyedéves P&amp;L_mérleg'!F22/F$2*1000</f>
        <v>310.61268270540171</v>
      </c>
      <c r="G22" s="136" t="e">
        <f>'negyedéves P&amp;L_mérleg'!G22/G$2*1000</f>
        <v>#REF!</v>
      </c>
      <c r="H22" s="75">
        <f>'negyedéves P&amp;L_mérleg'!H22/H$2*1000</f>
        <v>150.86760634022446</v>
      </c>
      <c r="I22" s="136">
        <f>'negyedéves P&amp;L_mérleg'!I22/I$2*1000</f>
        <v>2145.7206603413142</v>
      </c>
      <c r="J22" s="75">
        <f>'negyedéves P&amp;L_mérleg'!J22/J$2*1000</f>
        <v>1969.8887919632173</v>
      </c>
      <c r="K22" s="136" t="e">
        <f>'negyedéves P&amp;L_mérleg'!K22/K$2*1000</f>
        <v>#REF!</v>
      </c>
      <c r="L22" s="75">
        <f>'negyedéves P&amp;L_mérleg'!L22/L$2*1000</f>
        <v>-3410.1162920111924</v>
      </c>
      <c r="M22" s="136">
        <f>'negyedéves P&amp;L_mérleg'!M22/M$2*1000</f>
        <v>-1802.212780359984</v>
      </c>
      <c r="N22" s="75">
        <f>'negyedéves P&amp;L_mérleg'!N22/N$2*1000</f>
        <v>-2098.0319346453771</v>
      </c>
      <c r="O22" s="136">
        <f>'negyedéves P&amp;L_mérleg'!O22/O$2*1000</f>
        <v>0</v>
      </c>
      <c r="P22" s="75">
        <f>'negyedéves P&amp;L_mérleg'!P22/P$2*1000</f>
        <v>1619.230202035098</v>
      </c>
      <c r="Q22" s="136">
        <f>'negyedéves P&amp;L_mérleg'!Q22/Q$2*1000</f>
        <v>5316.5290453426051</v>
      </c>
      <c r="R22" s="75">
        <f>'negyedéves P&amp;L_mérleg'!R22/R$2*1000</f>
        <v>8470.5341493549422</v>
      </c>
      <c r="S22" s="136">
        <f>'negyedéves P&amp;L_mérleg'!S22/S$2*1000</f>
        <v>0</v>
      </c>
      <c r="T22" s="75">
        <f>'negyedéves P&amp;L_mérleg'!T22/T$2*1000</f>
        <v>3800.0415397396878</v>
      </c>
      <c r="U22" s="136">
        <f>'negyedéves P&amp;L_mérleg'!U22/U$2*1000</f>
        <v>16521.494009866103</v>
      </c>
      <c r="V22" s="75">
        <f>'negyedéves P&amp;L_mérleg'!V22/V$2*1000</f>
        <v>44485.574613580495</v>
      </c>
      <c r="W22" s="136">
        <f>'negyedéves P&amp;L_mérleg'!W22/W$2*1000</f>
        <v>30017.385362043955</v>
      </c>
      <c r="X22" s="75">
        <f>'negyedéves P&amp;L_mérleg'!X22/X$2*1000</f>
        <v>17176.03151508496</v>
      </c>
      <c r="Y22" s="136">
        <f>'negyedéves P&amp;L_mérleg'!Y22/Y$2*1000</f>
        <v>33063.161543178612</v>
      </c>
      <c r="Z22" s="75">
        <f>'negyedéves P&amp;L_mérleg'!Z22/Z$2*1000</f>
        <v>48156.324197947783</v>
      </c>
      <c r="AA22" s="136">
        <f>'negyedéves P&amp;L_mérleg'!AA22/AA$2*1000</f>
        <v>24662.049932282218</v>
      </c>
      <c r="AB22" s="75">
        <f>'negyedéves P&amp;L_mérleg'!AB22/AB$2*1000</f>
        <v>10851.775604734945</v>
      </c>
      <c r="AC22" s="136">
        <f>'negyedéves P&amp;L_mérleg'!AC22/AC$2*1000</f>
        <v>18678.847062529541</v>
      </c>
      <c r="AD22" s="75">
        <f>'negyedéves P&amp;L_mérleg'!AD22/AD$2*1000</f>
        <v>24065.636701668031</v>
      </c>
      <c r="AE22" s="136">
        <f>'negyedéves P&amp;L_mérleg'!AE22/AE$2*1000</f>
        <v>21848.409477680325</v>
      </c>
      <c r="AF22" s="75">
        <f>'negyedéves P&amp;L_mérleg'!AF22/AF$2*1000</f>
        <v>9804.6188722017505</v>
      </c>
      <c r="AG22" s="136">
        <f>'negyedéves P&amp;L_mérleg'!AG22/AG$2*1000</f>
        <v>19575.701605869377</v>
      </c>
      <c r="AH22" s="75">
        <f>'negyedéves P&amp;L_mérleg'!AH22/AH$2*1000</f>
        <v>26290.133142521292</v>
      </c>
      <c r="AI22" s="136">
        <f>'negyedéves P&amp;L_mérleg'!AI22/AI$2*1000</f>
        <v>21115.890688259111</v>
      </c>
    </row>
    <row r="23" spans="1:35" ht="29.4" outlineLevel="1" thickBot="1" x14ac:dyDescent="0.35">
      <c r="B23" s="60" t="s">
        <v>120</v>
      </c>
      <c r="C23" s="62" t="s">
        <v>121</v>
      </c>
      <c r="D23" s="98">
        <f>'negyedéves P&amp;L_mérleg'!D23/D$2*1000</f>
        <v>-1.4309533822916136</v>
      </c>
      <c r="E23" s="70">
        <f>'negyedéves P&amp;L_mérleg'!E23/E$2*1000</f>
        <v>-4.761775350610475</v>
      </c>
      <c r="F23" s="75">
        <f>'negyedéves P&amp;L_mérleg'!F23/F$2*1000</f>
        <v>-5.8869904675457407</v>
      </c>
      <c r="G23" s="136" t="e">
        <f>'negyedéves P&amp;L_mérleg'!G23/G$2*1000</f>
        <v>#REF!</v>
      </c>
      <c r="H23" s="75">
        <f>'negyedéves P&amp;L_mérleg'!H23/H$2*1000</f>
        <v>-0.94218435520717159</v>
      </c>
      <c r="I23" s="136">
        <f>'negyedéves P&amp;L_mérleg'!I23/I$2*1000</f>
        <v>-2.9574630667336606</v>
      </c>
      <c r="J23" s="75">
        <f>'negyedéves P&amp;L_mérleg'!J23/J$2*1000</f>
        <v>-2.2507148705639506</v>
      </c>
      <c r="K23" s="136" t="e">
        <f>'negyedéves P&amp;L_mérleg'!K23/K$2*1000</f>
        <v>#REF!</v>
      </c>
      <c r="L23" s="75">
        <f>'negyedéves P&amp;L_mérleg'!L23/L$2*1000</f>
        <v>-0.84196246109405293</v>
      </c>
      <c r="M23" s="136">
        <f>'negyedéves P&amp;L_mérleg'!M23/M$2*1000</f>
        <v>-0.83539632529614571</v>
      </c>
      <c r="N23" s="75">
        <f>'negyedéves P&amp;L_mérleg'!N23/N$2*1000</f>
        <v>-6.1888847629657127</v>
      </c>
      <c r="O23" s="136">
        <f>'negyedéves P&amp;L_mérleg'!O23/O$2*1000</f>
        <v>0</v>
      </c>
      <c r="P23" s="75">
        <f>'negyedéves P&amp;L_mérleg'!P23/P$2*1000</f>
        <v>5.8988349800914319</v>
      </c>
      <c r="Q23" s="136">
        <f>'negyedéves P&amp;L_mérleg'!Q23/Q$2*1000</f>
        <v>5.7945820657685063</v>
      </c>
      <c r="R23" s="75">
        <f>'negyedéves P&amp;L_mérleg'!R23/R$2*1000</f>
        <v>0</v>
      </c>
      <c r="S23" s="136">
        <f>'negyedéves P&amp;L_mérleg'!S23/S$2*1000</f>
        <v>0</v>
      </c>
      <c r="T23" s="75">
        <f>'negyedéves P&amp;L_mérleg'!T23/T$2*1000</f>
        <v>7.9645527554693984</v>
      </c>
      <c r="U23" s="136">
        <f>'negyedéves P&amp;L_mérleg'!U23/U$2*1000</f>
        <v>5.6377730796335452</v>
      </c>
      <c r="V23" s="75">
        <f>'negyedéves P&amp;L_mérleg'!V23/V$2*1000</f>
        <v>5.6514736217468711</v>
      </c>
      <c r="W23" s="136">
        <f>'negyedéves P&amp;L_mérleg'!W23/W$2*1000</f>
        <v>6.3204284279817022</v>
      </c>
      <c r="X23" s="75">
        <f>'negyedéves P&amp;L_mérleg'!X23/X$2*1000</f>
        <v>4.5598045405880256</v>
      </c>
      <c r="Y23" s="136">
        <f>'negyedéves P&amp;L_mérleg'!Y23/Y$2*1000</f>
        <v>10.664675927160264</v>
      </c>
      <c r="Z23" s="75">
        <f>'negyedéves P&amp;L_mérleg'!Z23/Z$2*1000</f>
        <v>14.575918950513055</v>
      </c>
      <c r="AA23" s="136">
        <f>'negyedéves P&amp;L_mérleg'!AA23/AA$2*1000</f>
        <v>-114.99246160529476</v>
      </c>
      <c r="AB23" s="75">
        <f>'negyedéves P&amp;L_mérleg'!AB23/AB$2*1000</f>
        <v>-126.09366958311888</v>
      </c>
      <c r="AC23" s="136">
        <f>'negyedéves P&amp;L_mérleg'!AC23/AC$2*1000</f>
        <v>-231.66902924345041</v>
      </c>
      <c r="AD23" s="75">
        <f>'negyedéves P&amp;L_mérleg'!AD23/AD$2*1000</f>
        <v>-181.43182591845823</v>
      </c>
      <c r="AE23" s="136">
        <f>'negyedéves P&amp;L_mérleg'!AE23/AE$2*1000</f>
        <v>-107.34389317973557</v>
      </c>
      <c r="AF23" s="75">
        <f>'negyedéves P&amp;L_mérleg'!AF23/AF$2*1000</f>
        <v>194.32236791262011</v>
      </c>
      <c r="AG23" s="136">
        <f>'negyedéves P&amp;L_mérleg'!AG23/AG$2*1000</f>
        <v>420.70699297111486</v>
      </c>
      <c r="AH23" s="75">
        <f>'negyedéves P&amp;L_mérleg'!AH23/AH$2*1000</f>
        <v>536.8224681199049</v>
      </c>
      <c r="AI23" s="136">
        <f>'negyedéves P&amp;L_mérleg'!AI23/AI$2*1000</f>
        <v>-103.74493927125506</v>
      </c>
    </row>
    <row r="24" spans="1:35" ht="15.6" outlineLevel="1" thickTop="1" thickBot="1" x14ac:dyDescent="0.35">
      <c r="B24" s="55" t="s">
        <v>101</v>
      </c>
      <c r="C24" s="55" t="s">
        <v>101</v>
      </c>
      <c r="D24" s="78">
        <f>'negyedéves P&amp;L_mérleg'!D24/D$2*1000</f>
        <v>1517.7746142150036</v>
      </c>
      <c r="E24" s="25">
        <f>'negyedéves P&amp;L_mérleg'!E24/E$2*1000</f>
        <v>4082.500943579138</v>
      </c>
      <c r="F24" s="78">
        <f>'negyedéves P&amp;L_mérleg'!F24/F$2*1000</f>
        <v>4537.9804649503913</v>
      </c>
      <c r="G24" s="139" t="e">
        <f>'negyedéves P&amp;L_mérleg'!G24/G$2*1000</f>
        <v>#REF!</v>
      </c>
      <c r="H24" s="78">
        <f>'negyedéves P&amp;L_mérleg'!H24/H$2*1000</f>
        <v>1302.373742082757</v>
      </c>
      <c r="I24" s="139">
        <f>'negyedéves P&amp;L_mérleg'!I24/I$2*1000</f>
        <v>2980.5567052980141</v>
      </c>
      <c r="J24" s="78">
        <f>'negyedéves P&amp;L_mérleg'!J24/J$2*1000</f>
        <v>3673.0929520690302</v>
      </c>
      <c r="K24" s="139" t="e">
        <f>'negyedéves P&amp;L_mérleg'!K24/K$2*1000</f>
        <v>#REF!</v>
      </c>
      <c r="L24" s="78">
        <f>'negyedéves P&amp;L_mérleg'!L24/L$2*1000</f>
        <v>1426.8318766309299</v>
      </c>
      <c r="M24" s="139">
        <f>'negyedéves P&amp;L_mérleg'!M24/M$2*1000</f>
        <v>6622.090323486289</v>
      </c>
      <c r="N24" s="78">
        <f>'negyedéves P&amp;L_mérleg'!N24/N$2*1000</f>
        <v>8661.3442257705155</v>
      </c>
      <c r="O24" s="139">
        <f>'negyedéves P&amp;L_mérleg'!O24/O$2*1000</f>
        <v>11615.73689872445</v>
      </c>
      <c r="P24" s="78">
        <f>'negyedéves P&amp;L_mérleg'!P24/P$2*1000</f>
        <v>3421.3242884530305</v>
      </c>
      <c r="Q24" s="139">
        <f>'negyedéves P&amp;L_mérleg'!Q24/Q$2*1000</f>
        <v>9089.8942488773027</v>
      </c>
      <c r="R24" s="78">
        <f>'negyedéves P&amp;L_mérleg'!R24/R$2*1000</f>
        <v>12723.633020141942</v>
      </c>
      <c r="S24" s="139">
        <f>'negyedéves P&amp;L_mérleg'!S24/S$2*1000</f>
        <v>15286.482888679349</v>
      </c>
      <c r="T24" s="78">
        <f>'negyedéves P&amp;L_mérleg'!T24/T$2*1000</f>
        <v>6368.9811648449377</v>
      </c>
      <c r="U24" s="139">
        <f>'negyedéves P&amp;L_mérleg'!U24/U$2*1000</f>
        <v>17513.742071881607</v>
      </c>
      <c r="V24" s="78">
        <f>'negyedéves P&amp;L_mérleg'!V24/V$2*1000</f>
        <v>27403.995591850577</v>
      </c>
      <c r="W24" s="139">
        <f>'negyedéves P&amp;L_mérleg'!W24/W$2*1000</f>
        <v>35925.437911413581</v>
      </c>
      <c r="X24" s="78">
        <f>'negyedéves P&amp;L_mérleg'!X24/X$2*1000</f>
        <v>12671.919180827408</v>
      </c>
      <c r="Y24" s="139">
        <f>'negyedéves P&amp;L_mérleg'!Y24/Y$2*1000</f>
        <v>31482.123336977096</v>
      </c>
      <c r="Z24" s="78">
        <f>'negyedéves P&amp;L_mérleg'!Z24/Z$2*1000</f>
        <v>42439.277828289392</v>
      </c>
      <c r="AA24" s="139">
        <f>'negyedéves P&amp;L_mérleg'!AA24/AA$2*1000</f>
        <v>51671.550864998855</v>
      </c>
      <c r="AB24" s="78">
        <f>'negyedéves P&amp;L_mérleg'!AB24/AB$2*1000</f>
        <v>20174.987133299019</v>
      </c>
      <c r="AC24" s="139">
        <f>'negyedéves P&amp;L_mérleg'!AC24/AC$2*1000</f>
        <v>33512.700162755318</v>
      </c>
      <c r="AD24" s="78">
        <f>'negyedéves P&amp;L_mérleg'!AD24/AD$2*1000</f>
        <v>42759.477860116793</v>
      </c>
      <c r="AE24" s="139">
        <f>'negyedéves P&amp;L_mérleg'!AE24/AE$2*1000</f>
        <v>50875.769079722479</v>
      </c>
      <c r="AF24" s="78">
        <f>'negyedéves P&amp;L_mérleg'!AF24/AF$2*1000</f>
        <v>11558.89126458693</v>
      </c>
      <c r="AG24" s="139">
        <f>'negyedéves P&amp;L_mérleg'!AG24/AG$2*1000</f>
        <v>25044.892514493869</v>
      </c>
      <c r="AH24" s="78">
        <f>'negyedéves P&amp;L_mérleg'!AH24/AH$2*1000</f>
        <v>37849.945056349206</v>
      </c>
      <c r="AI24" s="139">
        <f>'negyedéves P&amp;L_mérleg'!AI24/AI$2*1000</f>
        <v>48198.380566801614</v>
      </c>
    </row>
    <row r="25" spans="1:35" ht="15" thickTop="1" x14ac:dyDescent="0.3">
      <c r="C25" s="4" t="s">
        <v>343</v>
      </c>
      <c r="D25" s="140">
        <v>308.7</v>
      </c>
      <c r="E25" s="140">
        <v>308.87</v>
      </c>
      <c r="F25" s="140">
        <v>311.23</v>
      </c>
      <c r="G25" s="140" t="e">
        <f>'éves P&amp;L_mérleg'!#REF!</f>
        <v>#REF!</v>
      </c>
      <c r="H25" s="140">
        <v>312.55</v>
      </c>
      <c r="I25" s="140">
        <v>328.6</v>
      </c>
      <c r="J25" s="140">
        <v>323.77999999999997</v>
      </c>
      <c r="K25" s="140" t="e">
        <f>'éves P&amp;L_mérleg'!#REF!</f>
        <v>#REF!</v>
      </c>
      <c r="L25" s="140">
        <v>320.79000000000002</v>
      </c>
      <c r="M25" s="140">
        <v>323.54000000000002</v>
      </c>
      <c r="N25" s="140">
        <v>334.65</v>
      </c>
      <c r="O25" s="72">
        <v>330.52</v>
      </c>
      <c r="P25" s="140">
        <v>359.09</v>
      </c>
      <c r="Q25" s="72">
        <v>356.57</v>
      </c>
      <c r="R25" s="140">
        <v>364.65</v>
      </c>
      <c r="S25" s="72">
        <v>365.13</v>
      </c>
      <c r="T25" s="140">
        <v>363.73</v>
      </c>
      <c r="U25" s="72">
        <v>351.9</v>
      </c>
      <c r="V25" s="140">
        <v>360.52</v>
      </c>
      <c r="W25" s="72">
        <v>369</v>
      </c>
      <c r="X25" s="140">
        <v>369.62</v>
      </c>
      <c r="Y25" s="72">
        <v>396.75</v>
      </c>
      <c r="Z25" s="140">
        <v>421.41</v>
      </c>
      <c r="AA25" s="72">
        <v>400.25</v>
      </c>
      <c r="AB25" s="140">
        <v>380.99</v>
      </c>
      <c r="AC25" s="72">
        <v>371.13</v>
      </c>
      <c r="AD25" s="140">
        <v>391.25</v>
      </c>
      <c r="AE25" s="72">
        <v>382.78</v>
      </c>
      <c r="AF25" s="140">
        <v>395.83</v>
      </c>
      <c r="AG25" s="72">
        <v>395.15</v>
      </c>
      <c r="AH25" s="140">
        <v>397.56</v>
      </c>
      <c r="AI25" s="72">
        <v>410.09</v>
      </c>
    </row>
    <row r="26" spans="1:35" x14ac:dyDescent="0.3">
      <c r="A26" s="1" t="s">
        <v>0</v>
      </c>
      <c r="B26" s="112" t="s">
        <v>356</v>
      </c>
      <c r="C26" s="112" t="s">
        <v>1</v>
      </c>
      <c r="D26" s="102">
        <v>42825</v>
      </c>
      <c r="E26" s="102">
        <v>42916</v>
      </c>
      <c r="F26" s="102">
        <v>43008</v>
      </c>
      <c r="G26" s="102">
        <v>43100</v>
      </c>
      <c r="H26" s="102">
        <v>43190</v>
      </c>
      <c r="I26" s="102">
        <v>43281</v>
      </c>
      <c r="J26" s="102">
        <v>43373</v>
      </c>
      <c r="K26" s="102">
        <v>43465</v>
      </c>
      <c r="L26" s="102">
        <v>43555</v>
      </c>
      <c r="M26" s="102">
        <v>43646</v>
      </c>
      <c r="N26" s="102">
        <v>43738</v>
      </c>
      <c r="O26" s="102">
        <v>43830</v>
      </c>
      <c r="P26" s="102" t="str">
        <f>+P3</f>
        <v>2020 Q1</v>
      </c>
      <c r="Q26" s="102" t="str">
        <f>+Q3</f>
        <v>2020 Q2</v>
      </c>
      <c r="R26" s="102" t="str">
        <f>+R3</f>
        <v>2020 Q3</v>
      </c>
      <c r="S26" s="102" t="s">
        <v>279</v>
      </c>
      <c r="T26" s="102" t="s">
        <v>284</v>
      </c>
      <c r="U26" s="102" t="s">
        <v>300</v>
      </c>
      <c r="V26" s="102" t="s">
        <v>301</v>
      </c>
      <c r="W26" s="102" t="s">
        <v>301</v>
      </c>
      <c r="X26" s="102" t="s">
        <v>307</v>
      </c>
      <c r="Y26" s="102" t="s">
        <v>308</v>
      </c>
      <c r="Z26" s="102" t="s">
        <v>310</v>
      </c>
      <c r="AA26" s="102" t="s">
        <v>320</v>
      </c>
      <c r="AB26" s="102" t="s">
        <v>339</v>
      </c>
      <c r="AC26" s="102" t="s">
        <v>346</v>
      </c>
      <c r="AD26" s="102" t="s">
        <v>340</v>
      </c>
      <c r="AE26" s="102" t="s">
        <v>345</v>
      </c>
      <c r="AF26" s="102" t="s">
        <v>345</v>
      </c>
      <c r="AG26" s="102" t="s">
        <v>351</v>
      </c>
      <c r="AH26" s="102" t="s">
        <v>354</v>
      </c>
      <c r="AI26" s="102" t="s">
        <v>367</v>
      </c>
    </row>
    <row r="27" spans="1:35" ht="15" customHeight="1" thickBot="1" x14ac:dyDescent="0.35">
      <c r="B27" s="112" t="s">
        <v>355</v>
      </c>
      <c r="C27" s="113" t="s">
        <v>303</v>
      </c>
      <c r="D27" s="101" t="s">
        <v>189</v>
      </c>
      <c r="E27" s="67" t="str">
        <f>D27</f>
        <v>not audited</v>
      </c>
      <c r="F27" s="67" t="str">
        <f t="shared" ref="F27:R27" si="0">E27</f>
        <v>not audited</v>
      </c>
      <c r="G27" s="67" t="str">
        <f t="shared" si="0"/>
        <v>not audited</v>
      </c>
      <c r="H27" s="67" t="str">
        <f t="shared" si="0"/>
        <v>not audited</v>
      </c>
      <c r="I27" s="67" t="str">
        <f t="shared" si="0"/>
        <v>not audited</v>
      </c>
      <c r="J27" s="67" t="str">
        <f t="shared" si="0"/>
        <v>not audited</v>
      </c>
      <c r="K27" s="67" t="str">
        <f t="shared" si="0"/>
        <v>not audited</v>
      </c>
      <c r="L27" s="67" t="str">
        <f t="shared" si="0"/>
        <v>not audited</v>
      </c>
      <c r="M27" s="67" t="str">
        <f t="shared" si="0"/>
        <v>not audited</v>
      </c>
      <c r="N27" s="67" t="str">
        <f t="shared" si="0"/>
        <v>not audited</v>
      </c>
      <c r="O27" s="67" t="str">
        <f t="shared" si="0"/>
        <v>not audited</v>
      </c>
      <c r="P27" s="67" t="str">
        <f t="shared" si="0"/>
        <v>not audited</v>
      </c>
      <c r="Q27" s="67" t="str">
        <f t="shared" si="0"/>
        <v>not audited</v>
      </c>
      <c r="R27" s="67" t="str">
        <f t="shared" si="0"/>
        <v>not audited</v>
      </c>
      <c r="S27" s="67" t="s">
        <v>281</v>
      </c>
      <c r="T27" s="67" t="s">
        <v>189</v>
      </c>
      <c r="U27" s="67" t="s">
        <v>189</v>
      </c>
      <c r="V27" s="67" t="s">
        <v>189</v>
      </c>
      <c r="W27" s="67" t="s">
        <v>189</v>
      </c>
      <c r="X27" s="67" t="s">
        <v>189</v>
      </c>
      <c r="Y27" s="67" t="s">
        <v>189</v>
      </c>
      <c r="Z27" s="67" t="s">
        <v>189</v>
      </c>
      <c r="AA27" s="67" t="s">
        <v>281</v>
      </c>
      <c r="AB27" s="67" t="s">
        <v>189</v>
      </c>
      <c r="AC27" s="67" t="s">
        <v>189</v>
      </c>
      <c r="AD27" s="67" t="s">
        <v>189</v>
      </c>
      <c r="AE27" s="67" t="s">
        <v>281</v>
      </c>
      <c r="AF27" s="67" t="s">
        <v>189</v>
      </c>
      <c r="AG27" s="67" t="s">
        <v>189</v>
      </c>
      <c r="AH27" s="67" t="s">
        <v>189</v>
      </c>
      <c r="AI27" s="67" t="s">
        <v>281</v>
      </c>
    </row>
    <row r="28" spans="1:35" ht="15" thickBot="1" x14ac:dyDescent="0.35">
      <c r="B28" s="64" t="s">
        <v>3</v>
      </c>
      <c r="C28" s="64" t="s">
        <v>4</v>
      </c>
      <c r="D28" s="80">
        <f>'negyedéves P&amp;L_mérleg'!D28/$N$38*1000</f>
        <v>19597.505677573583</v>
      </c>
      <c r="E28" s="88">
        <f>'negyedéves P&amp;L_mérleg'!E28/$N$38*1000</f>
        <v>19168.416455998809</v>
      </c>
      <c r="F28" s="80">
        <f>'negyedéves P&amp;L_mérleg'!F28/$N$38*1000</f>
        <v>18770.771522486179</v>
      </c>
      <c r="G28" s="88">
        <f>'negyedéves P&amp;L_mérleg'!G28/$N$38*1000</f>
        <v>22549.272798446142</v>
      </c>
      <c r="H28" s="80">
        <f>'negyedéves P&amp;L_mérleg'!H28/$N$38*1000</f>
        <v>27685.152493650083</v>
      </c>
      <c r="I28" s="88">
        <f>'negyedéves P&amp;L_mérleg'!I28/$N$38*1000</f>
        <v>26835.24350814283</v>
      </c>
      <c r="J28" s="80">
        <f>'negyedéves P&amp;L_mérleg'!J28/$N$38*1000</f>
        <v>35576.326379799801</v>
      </c>
      <c r="K28" s="88">
        <f>'negyedéves P&amp;L_mérleg'!K28/$N$38*1000</f>
        <v>40986.86615269685</v>
      </c>
      <c r="L28" s="80">
        <f>'negyedéves P&amp;L_mérleg'!L28/$N$38*1000</f>
        <v>48779.92826535186</v>
      </c>
      <c r="M28" s="88">
        <f>'negyedéves P&amp;L_mérleg'!M28/$N$38*1000</f>
        <v>71976.86804422531</v>
      </c>
      <c r="N28" s="80">
        <f>'negyedéves P&amp;L_mérleg'!N28/N$38*1000</f>
        <v>71890.03436426117</v>
      </c>
      <c r="O28" s="88">
        <f>'negyedéves P&amp;L_mérleg'!O28/O$38*1000</f>
        <v>74019.726491589012</v>
      </c>
      <c r="P28" s="80">
        <f>'negyedéves P&amp;L_mérleg'!P28/P$38*1000</f>
        <v>71118.661059901424</v>
      </c>
      <c r="Q28" s="88">
        <f>'negyedéves P&amp;L_mérleg'!Q28/Q$38*1000</f>
        <v>72268.292340914835</v>
      </c>
      <c r="R28" s="80">
        <f>'negyedéves P&amp;L_mérleg'!R28/R$38*1000</f>
        <v>72219.936925819289</v>
      </c>
      <c r="S28" s="88">
        <f>'negyedéves P&amp;L_mérleg'!S28/S$38*1000</f>
        <v>85079.985210746861</v>
      </c>
      <c r="T28" s="80">
        <f>'negyedéves P&amp;L_mérleg'!T28/T$38*1000</f>
        <v>85138.575316855902</v>
      </c>
      <c r="U28" s="88">
        <f>'negyedéves P&amp;L_mérleg'!U28/U$38*1000</f>
        <v>85203.466894003985</v>
      </c>
      <c r="V28" s="80">
        <f>'negyedéves P&amp;L_mérleg'!V28/V$38*1000</f>
        <v>86785.640186397432</v>
      </c>
      <c r="W28" s="88">
        <f>'negyedéves P&amp;L_mérleg'!W28/W$38*1000</f>
        <v>85015.642276422761</v>
      </c>
      <c r="X28" s="80">
        <f>'negyedéves P&amp;L_mérleg'!X28/X$38*1000</f>
        <v>84130.060602781232</v>
      </c>
      <c r="Y28" s="88">
        <f>'negyedéves P&amp;L_mérleg'!Y28/Y$38*1000</f>
        <v>78207.939508506606</v>
      </c>
      <c r="Z28" s="80">
        <f>'negyedéves P&amp;L_mérleg'!Z28/Z$38*1000</f>
        <v>77329.413160579948</v>
      </c>
      <c r="AA28" s="88">
        <f>'negyedéves P&amp;L_mérleg'!AA28/AA$38*1000</f>
        <v>87299.080574640859</v>
      </c>
      <c r="AB28" s="80">
        <f>'negyedéves P&amp;L_mérleg'!AB28/AB$38*1000</f>
        <v>93724.244730832826</v>
      </c>
      <c r="AC28" s="88">
        <f>'negyedéves P&amp;L_mérleg'!AC28/AC$38*1000</f>
        <v>102189.25982809259</v>
      </c>
      <c r="AD28" s="80">
        <f>'negyedéves P&amp;L_mérleg'!AD28/AD$38*1000</f>
        <v>102150.39744408947</v>
      </c>
      <c r="AE28" s="88">
        <f>'negyedéves P&amp;L_mérleg'!AE28/AE$38*1000</f>
        <v>113833.01112910811</v>
      </c>
      <c r="AF28" s="80">
        <f>'negyedéves P&amp;L_mérleg'!AF28/AF$38*1000</f>
        <v>114095.4601722962</v>
      </c>
      <c r="AG28" s="88">
        <f>'negyedéves P&amp;L_mérleg'!AG28/AG$38*1000</f>
        <v>122842.55093002657</v>
      </c>
      <c r="AH28" s="80">
        <f>'negyedéves P&amp;L_mérleg'!AH28/AH$38*1000</f>
        <v>124898.39772612941</v>
      </c>
      <c r="AI28" s="88">
        <f>'negyedéves P&amp;L_mérleg'!AI28/AI$38*1000</f>
        <v>146809.55400034142</v>
      </c>
    </row>
    <row r="29" spans="1:35" ht="29.4" thickBot="1" x14ac:dyDescent="0.35">
      <c r="B29" s="64" t="s">
        <v>133</v>
      </c>
      <c r="C29" s="64" t="s">
        <v>26</v>
      </c>
      <c r="D29" s="83">
        <f>'negyedéves P&amp;L_mérleg'!D29/$N$38*1000</f>
        <v>26931.220953234726</v>
      </c>
      <c r="E29" s="91">
        <f>'negyedéves P&amp;L_mérleg'!E29/$N$38*1000</f>
        <v>25116.191059315704</v>
      </c>
      <c r="F29" s="83">
        <f>'negyedéves P&amp;L_mérleg'!F29/$N$38*1000</f>
        <v>25323.448223517105</v>
      </c>
      <c r="G29" s="91">
        <f>'negyedéves P&amp;L_mérleg'!G29/$N$38*1000</f>
        <v>27039.842381592709</v>
      </c>
      <c r="H29" s="83">
        <f>'negyedéves P&amp;L_mérleg'!H29/$N$38*1000</f>
        <v>22795.750097116394</v>
      </c>
      <c r="I29" s="91">
        <f>'negyedéves P&amp;L_mérleg'!I29/$N$38*1000</f>
        <v>20757.830189750486</v>
      </c>
      <c r="J29" s="83">
        <f>'negyedéves P&amp;L_mérleg'!J29/$N$38*1000</f>
        <v>23165.978443149565</v>
      </c>
      <c r="K29" s="91">
        <f>'negyedéves P&amp;L_mérleg'!K29/$N$38*1000</f>
        <v>27320.613614223817</v>
      </c>
      <c r="L29" s="83">
        <f>'negyedéves P&amp;L_mérleg'!L29/$N$38*1000</f>
        <v>28272.514860301806</v>
      </c>
      <c r="M29" s="91">
        <f>'negyedéves P&amp;L_mérleg'!M29/$N$38*1000</f>
        <v>27265.515180038848</v>
      </c>
      <c r="N29" s="83">
        <f>'negyedéves P&amp;L_mérleg'!N29/N$38*1000</f>
        <v>27255.341401464219</v>
      </c>
      <c r="O29" s="91">
        <f>'negyedéves P&amp;L_mérleg'!O29/O$38*1000</f>
        <v>39970.349751906091</v>
      </c>
      <c r="P29" s="83">
        <f>'negyedéves P&amp;L_mérleg'!P29/P$38*1000</f>
        <v>39176.808042552009</v>
      </c>
      <c r="Q29" s="91">
        <f>'negyedéves P&amp;L_mérleg'!Q29/Q$38*1000</f>
        <v>33847.006197941497</v>
      </c>
      <c r="R29" s="83">
        <f>'negyedéves P&amp;L_mérleg'!R29/R$38*1000</f>
        <v>29760.04387769094</v>
      </c>
      <c r="S29" s="91">
        <f>'negyedéves P&amp;L_mérleg'!S29/S$38*1000</f>
        <v>37847.08186125489</v>
      </c>
      <c r="T29" s="83">
        <f>'negyedéves P&amp;L_mérleg'!T29/T$38*1000</f>
        <v>39220.039589805623</v>
      </c>
      <c r="U29" s="91">
        <f>'negyedéves P&amp;L_mérleg'!U29/U$38*1000</f>
        <v>54310.883773799374</v>
      </c>
      <c r="V29" s="83">
        <f>'negyedéves P&amp;L_mérleg'!V29/V$38*1000</f>
        <v>91052.108066126704</v>
      </c>
      <c r="W29" s="91">
        <f>'negyedéves P&amp;L_mérleg'!W29/W$38*1000</f>
        <v>79647.631436314361</v>
      </c>
      <c r="X29" s="83">
        <f>'negyedéves P&amp;L_mérleg'!X29/X$38*1000</f>
        <v>94899.283047454141</v>
      </c>
      <c r="Y29" s="91">
        <f>'negyedéves P&amp;L_mérleg'!Y29/Y$38*1000</f>
        <v>88738.500315059864</v>
      </c>
      <c r="Z29" s="83">
        <f>'negyedéves P&amp;L_mérleg'!Z29/Z$38*1000</f>
        <v>128617.46992240335</v>
      </c>
      <c r="AA29" s="91">
        <f>'negyedéves P&amp;L_mérleg'!AA29/AA$38*1000</f>
        <v>162595.72017489068</v>
      </c>
      <c r="AB29" s="83">
        <f>'negyedéves P&amp;L_mérleg'!AB29/AB$38*1000</f>
        <v>141997.23614793038</v>
      </c>
      <c r="AC29" s="91">
        <f>'negyedéves P&amp;L_mérleg'!AC29/AC$38*1000</f>
        <v>121784.81933554281</v>
      </c>
      <c r="AD29" s="83">
        <f>'negyedéves P&amp;L_mérleg'!AD29/AD$38*1000</f>
        <v>115281.09904153355</v>
      </c>
      <c r="AE29" s="91">
        <f>'negyedéves P&amp;L_mérleg'!AE29/AE$38*1000</f>
        <v>126456.4501802602</v>
      </c>
      <c r="AF29" s="83">
        <f>'negyedéves P&amp;L_mérleg'!AF29/AF$38*1000</f>
        <v>118182.11605992472</v>
      </c>
      <c r="AG29" s="91">
        <f>'negyedéves P&amp;L_mérleg'!AG29/AG$38*1000</f>
        <v>86399.519169935462</v>
      </c>
      <c r="AH29" s="83">
        <f>'negyedéves P&amp;L_mérleg'!AH29/AH$38*1000</f>
        <v>93321.483549652898</v>
      </c>
      <c r="AI29" s="91">
        <f>'negyedéves P&amp;L_mérleg'!AI29/AI$38*1000</f>
        <v>92317.291326294246</v>
      </c>
    </row>
    <row r="30" spans="1:35" x14ac:dyDescent="0.3">
      <c r="B30" s="63" t="s">
        <v>326</v>
      </c>
      <c r="C30" s="63" t="s">
        <v>312</v>
      </c>
      <c r="D30" s="284">
        <f>'negyedéves P&amp;L_mérleg'!D30/$N$38*1000</f>
        <v>0</v>
      </c>
      <c r="E30" s="283">
        <f>'negyedéves P&amp;L_mérleg'!E30/$N$38*1000</f>
        <v>0</v>
      </c>
      <c r="F30" s="284">
        <f>'negyedéves P&amp;L_mérleg'!F30/$N$38*1000</f>
        <v>0</v>
      </c>
      <c r="G30" s="283">
        <f>'negyedéves P&amp;L_mérleg'!G30/$N$38*1000</f>
        <v>0</v>
      </c>
      <c r="H30" s="284">
        <f>'negyedéves P&amp;L_mérleg'!H30/$N$38*1000</f>
        <v>0</v>
      </c>
      <c r="I30" s="283">
        <f>'negyedéves P&amp;L_mérleg'!I30/$N$38*1000</f>
        <v>0</v>
      </c>
      <c r="J30" s="284">
        <f>'negyedéves P&amp;L_mérleg'!J30/$N$38*1000</f>
        <v>0</v>
      </c>
      <c r="K30" s="283">
        <f>'negyedéves P&amp;L_mérleg'!K30/$N$38*1000</f>
        <v>0</v>
      </c>
      <c r="L30" s="284">
        <f>'negyedéves P&amp;L_mérleg'!L30/$N$38*1000</f>
        <v>0</v>
      </c>
      <c r="M30" s="283">
        <f>'negyedéves P&amp;L_mérleg'!M30/$N$38*1000</f>
        <v>0</v>
      </c>
      <c r="N30" s="284">
        <f>'negyedéves P&amp;L_mérleg'!N30/N$38*1000</f>
        <v>0</v>
      </c>
      <c r="O30" s="283">
        <f>'negyedéves P&amp;L_mérleg'!O30/O$38*1000</f>
        <v>0</v>
      </c>
      <c r="P30" s="284">
        <f>'negyedéves P&amp;L_mérleg'!P30/P$38*1000</f>
        <v>0</v>
      </c>
      <c r="Q30" s="283">
        <f>'negyedéves P&amp;L_mérleg'!Q30/Q$38*1000</f>
        <v>0</v>
      </c>
      <c r="R30" s="284">
        <f>'negyedéves P&amp;L_mérleg'!R30/R$38*1000</f>
        <v>0</v>
      </c>
      <c r="S30" s="283">
        <f>'negyedéves P&amp;L_mérleg'!S30/S$38*1000</f>
        <v>0</v>
      </c>
      <c r="T30" s="284">
        <f>'negyedéves P&amp;L_mérleg'!T30/T$38*1000</f>
        <v>0</v>
      </c>
      <c r="U30" s="283">
        <f>'negyedéves P&amp;L_mérleg'!U30/U$38*1000</f>
        <v>0</v>
      </c>
      <c r="V30" s="284">
        <f>'negyedéves P&amp;L_mérleg'!V30/V$38*1000</f>
        <v>0</v>
      </c>
      <c r="W30" s="283">
        <f>'negyedéves P&amp;L_mérleg'!W30/W$38*1000</f>
        <v>15802.168021680216</v>
      </c>
      <c r="X30" s="284">
        <f>'negyedéves P&amp;L_mérleg'!X30/X$38*1000</f>
        <v>0</v>
      </c>
      <c r="Y30" s="283">
        <f>'negyedéves P&amp;L_mérleg'!Y30/Y$38*1000</f>
        <v>26701.953371140517</v>
      </c>
      <c r="Z30" s="284">
        <f>'negyedéves P&amp;L_mérleg'!Z30/Z$38*1000</f>
        <v>32960.245392847813</v>
      </c>
      <c r="AA30" s="283">
        <f>'negyedéves P&amp;L_mérleg'!AA30/AA$38*1000</f>
        <v>6491.0824834478453</v>
      </c>
      <c r="AB30" s="284">
        <f>'negyedéves P&amp;L_mérleg'!AB30/AB$38*1000</f>
        <v>3760.480569043807</v>
      </c>
      <c r="AC30" s="283">
        <f>'negyedéves P&amp;L_mérleg'!AC30/AC$38*1000</f>
        <v>5477.8648990919619</v>
      </c>
      <c r="AD30" s="284">
        <f>'negyedéves P&amp;L_mérleg'!AD30/AD$38*1000</f>
        <v>3011.6189265175717</v>
      </c>
      <c r="AE30" s="283">
        <f>'negyedéves P&amp;L_mérleg'!AE30/AE$38*1000</f>
        <v>2291.1332880505774</v>
      </c>
      <c r="AF30" s="284">
        <f>'negyedéves P&amp;L_mérleg'!AF30/AF$38*1000</f>
        <v>2079.3971199757475</v>
      </c>
      <c r="AG30" s="283">
        <f>'negyedéves P&amp;L_mérleg'!AG30/AG$38*1000</f>
        <v>1616.7169125648491</v>
      </c>
      <c r="AH30" s="284">
        <f>'negyedéves P&amp;L_mérleg'!AH30/AH$38*1000</f>
        <v>1057.7732442901702</v>
      </c>
      <c r="AI30" s="283">
        <f>'negyedéves P&amp;L_mérleg'!AI30/AI$38*1000</f>
        <v>0</v>
      </c>
    </row>
    <row r="31" spans="1:35" x14ac:dyDescent="0.3">
      <c r="B31" s="63" t="s">
        <v>327</v>
      </c>
      <c r="C31" s="63" t="s">
        <v>332</v>
      </c>
      <c r="D31" s="84">
        <f>'negyedéves P&amp;L_mérleg'!D31/$N$38*1000</f>
        <v>12879.286902734199</v>
      </c>
      <c r="E31" s="92">
        <f>'negyedéves P&amp;L_mérleg'!E31/$N$38*1000</f>
        <v>7901.8650052293451</v>
      </c>
      <c r="F31" s="84">
        <f>'negyedéves P&amp;L_mérleg'!F31/$N$38*1000</f>
        <v>8036.5588047213523</v>
      </c>
      <c r="G31" s="92">
        <f>'negyedéves P&amp;L_mérleg'!G31/$N$38*1000</f>
        <v>8443.7403466308078</v>
      </c>
      <c r="H31" s="84">
        <f>'negyedéves P&amp;L_mérleg'!H31/$N$38*1000</f>
        <v>5377.2275123263116</v>
      </c>
      <c r="I31" s="92">
        <f>'negyedéves P&amp;L_mérleg'!I31/$N$38*1000</f>
        <v>4013.3432660989092</v>
      </c>
      <c r="J31" s="84">
        <f>'negyedéves P&amp;L_mérleg'!J31/$N$38*1000</f>
        <v>3823.9675272672944</v>
      </c>
      <c r="K31" s="92">
        <f>'negyedéves P&amp;L_mérleg'!K31/$N$38*1000</f>
        <v>7653.4240011952797</v>
      </c>
      <c r="L31" s="84">
        <f>'negyedéves P&amp;L_mérleg'!L31/$N$38*1000</f>
        <v>10678.6991154938</v>
      </c>
      <c r="M31" s="92">
        <f>'negyedéves P&amp;L_mérleg'!M31/$N$38*1000</f>
        <v>6970.825575974899</v>
      </c>
      <c r="N31" s="84">
        <f>'negyedéves P&amp;L_mérleg'!N31/N$38*1000</f>
        <v>10649.932765575975</v>
      </c>
      <c r="O31" s="92">
        <f>'negyedéves P&amp;L_mérleg'!O31/O$38*1000</f>
        <v>14816.047440396951</v>
      </c>
      <c r="P31" s="84">
        <f>'negyedéves P&amp;L_mérleg'!P31/P$38*1000</f>
        <v>10078.253362666741</v>
      </c>
      <c r="Q31" s="92">
        <f>'negyedéves P&amp;L_mérleg'!Q31/Q$38*1000</f>
        <v>11128.249712538913</v>
      </c>
      <c r="R31" s="84">
        <f>'negyedéves P&amp;L_mérleg'!R31/R$38*1000</f>
        <v>7810.2289866995761</v>
      </c>
      <c r="S31" s="92">
        <f>'negyedéves P&amp;L_mérleg'!S31/S$38*1000</f>
        <v>9462.5065045326319</v>
      </c>
      <c r="T31" s="84">
        <f>'negyedéves P&amp;L_mérleg'!T31/T$38*1000</f>
        <v>11685.420504220161</v>
      </c>
      <c r="U31" s="92">
        <f>'negyedéves P&amp;L_mérleg'!U31/U$38*1000</f>
        <v>20329.63910201762</v>
      </c>
      <c r="V31" s="84">
        <f>'negyedéves P&amp;L_mérleg'!V31/V$38*1000</f>
        <v>26838.663597026516</v>
      </c>
      <c r="W31" s="92">
        <f>'negyedéves P&amp;L_mérleg'!W31/W$38*1000</f>
        <v>9970.875338753387</v>
      </c>
      <c r="X31" s="84">
        <f>'negyedéves P&amp;L_mérleg'!X31/X$38*1000</f>
        <v>10928.753855310859</v>
      </c>
      <c r="Y31" s="92">
        <f>'negyedéves P&amp;L_mérleg'!Y31/Y$38*1000</f>
        <v>19838.689350976685</v>
      </c>
      <c r="Z31" s="84">
        <f>'negyedéves P&amp;L_mérleg'!Z31/Z$38*1000</f>
        <v>31514.572506585035</v>
      </c>
      <c r="AA31" s="92">
        <f>'negyedéves P&amp;L_mérleg'!AA31/AA$38*1000</f>
        <v>41136.789506558402</v>
      </c>
      <c r="AB31" s="84">
        <f>'negyedéves P&amp;L_mérleg'!AB31/AB$38*1000</f>
        <v>68807.94246568151</v>
      </c>
      <c r="AC31" s="92">
        <f>'negyedéves P&amp;L_mérleg'!AC31/AC$38*1000</f>
        <v>67561.23191334572</v>
      </c>
      <c r="AD31" s="84">
        <f>'negyedéves P&amp;L_mérleg'!AD31/AD$38*1000</f>
        <v>66003.992332268375</v>
      </c>
      <c r="AE31" s="92">
        <f>'negyedéves P&amp;L_mérleg'!AE31/AE$38*1000</f>
        <v>63600.501593604684</v>
      </c>
      <c r="AF31" s="84">
        <f>'negyedéves P&amp;L_mérleg'!AF31/AF$38*1000</f>
        <v>43927.759391658037</v>
      </c>
      <c r="AG31" s="92">
        <f>'negyedéves P&amp;L_mérleg'!AG31/AG$38*1000</f>
        <v>27062.042262431991</v>
      </c>
      <c r="AH31" s="84">
        <f>'negyedéves P&amp;L_mérleg'!AH31/AH$38*1000</f>
        <v>33030.043263909851</v>
      </c>
      <c r="AI31" s="92">
        <f>'negyedéves P&amp;L_mérleg'!AI31/AI$38*1000</f>
        <v>24877.217196225218</v>
      </c>
    </row>
    <row r="32" spans="1:35" x14ac:dyDescent="0.3">
      <c r="B32" s="63" t="s">
        <v>348</v>
      </c>
      <c r="C32" s="63" t="s">
        <v>349</v>
      </c>
      <c r="D32" s="84">
        <f>'negyedéves P&amp;L_mérleg'!D32/$N$38*1000</f>
        <v>0</v>
      </c>
      <c r="E32" s="92">
        <f>'negyedéves P&amp;L_mérleg'!E32/$N$38*1000</f>
        <v>0</v>
      </c>
      <c r="F32" s="84">
        <f>'negyedéves P&amp;L_mérleg'!F32/$N$38*1000</f>
        <v>0</v>
      </c>
      <c r="G32" s="92">
        <f>'negyedéves P&amp;L_mérleg'!G32/$N$38*1000</f>
        <v>0</v>
      </c>
      <c r="H32" s="84">
        <f>'negyedéves P&amp;L_mérleg'!H32/$N$38*1000</f>
        <v>0</v>
      </c>
      <c r="I32" s="92">
        <f>'negyedéves P&amp;L_mérleg'!I32/$N$38*1000</f>
        <v>0</v>
      </c>
      <c r="J32" s="84">
        <f>'negyedéves P&amp;L_mérleg'!J32/$N$38*1000</f>
        <v>0</v>
      </c>
      <c r="K32" s="92">
        <f>'negyedéves P&amp;L_mérleg'!K32/$N$38*1000</f>
        <v>0</v>
      </c>
      <c r="L32" s="84">
        <f>'negyedéves P&amp;L_mérleg'!L32/$N$38*1000</f>
        <v>0</v>
      </c>
      <c r="M32" s="92">
        <f>'negyedéves P&amp;L_mérleg'!M32/$N$38*1000</f>
        <v>0</v>
      </c>
      <c r="N32" s="84">
        <f>'negyedéves P&amp;L_mérleg'!N32/N$38*1000</f>
        <v>0</v>
      </c>
      <c r="O32" s="92">
        <f>'negyedéves P&amp;L_mérleg'!O32/O$38*1000</f>
        <v>0</v>
      </c>
      <c r="P32" s="84">
        <f>'negyedéves P&amp;L_mérleg'!P32/P$38*1000</f>
        <v>0</v>
      </c>
      <c r="Q32" s="92">
        <f>'negyedéves P&amp;L_mérleg'!Q32/Q$38*1000</f>
        <v>0</v>
      </c>
      <c r="R32" s="84">
        <f>'negyedéves P&amp;L_mérleg'!R32/R$38*1000</f>
        <v>0</v>
      </c>
      <c r="S32" s="92">
        <f>'negyedéves P&amp;L_mérleg'!S32/S$38*1000</f>
        <v>0</v>
      </c>
      <c r="T32" s="84">
        <f>'negyedéves P&amp;L_mérleg'!T32/T$38*1000</f>
        <v>0</v>
      </c>
      <c r="U32" s="92">
        <f>'negyedéves P&amp;L_mérleg'!U32/U$38*1000</f>
        <v>0</v>
      </c>
      <c r="V32" s="84">
        <f>'negyedéves P&amp;L_mérleg'!V32/V$38*1000</f>
        <v>0</v>
      </c>
      <c r="W32" s="92">
        <f>'negyedéves P&amp;L_mérleg'!W32/W$38*1000</f>
        <v>0</v>
      </c>
      <c r="X32" s="84">
        <f>'negyedéves P&amp;L_mérleg'!X32/X$38*1000</f>
        <v>0</v>
      </c>
      <c r="Y32" s="92">
        <f>'negyedéves P&amp;L_mérleg'!Y32/Y$38*1000</f>
        <v>0</v>
      </c>
      <c r="Z32" s="84">
        <f>'negyedéves P&amp;L_mérleg'!Z32/Z$38*1000</f>
        <v>0</v>
      </c>
      <c r="AA32" s="92">
        <f>'negyedéves P&amp;L_mérleg'!AA32/AA$38*1000</f>
        <v>4444.7220487195509</v>
      </c>
      <c r="AB32" s="84">
        <f>'negyedéves P&amp;L_mérleg'!AB32/AB$38*1000</f>
        <v>0</v>
      </c>
      <c r="AC32" s="92">
        <f>'negyedéves P&amp;L_mérleg'!AC32/AC$38*1000</f>
        <v>3222.5904669522811</v>
      </c>
      <c r="AD32" s="84">
        <f>'negyedéves P&amp;L_mérleg'!AD32/AD$38*1000</f>
        <v>2655.6677316293926</v>
      </c>
      <c r="AE32" s="92">
        <f>'negyedéves P&amp;L_mérleg'!AE32/AE$38*1000</f>
        <v>5332.0445164324155</v>
      </c>
      <c r="AF32" s="84">
        <f>'negyedéves P&amp;L_mérleg'!AF32/AF$38*1000</f>
        <v>9114.5213854432459</v>
      </c>
      <c r="AG32" s="92">
        <f>'negyedéves P&amp;L_mérleg'!AG32/AG$38*1000</f>
        <v>2899.6608882702772</v>
      </c>
      <c r="AH32" s="84">
        <f>'negyedéves P&amp;L_mérleg'!AH32/AH$38*1000</f>
        <v>3267.818694033605</v>
      </c>
      <c r="AI32" s="92">
        <f>'negyedéves P&amp;L_mérleg'!AI32/AI$38*1000</f>
        <v>7037.4795776536857</v>
      </c>
    </row>
    <row r="33" spans="2:35" ht="28.8" x14ac:dyDescent="0.3">
      <c r="B33" s="63" t="s">
        <v>328</v>
      </c>
      <c r="C33" s="63" t="s">
        <v>330</v>
      </c>
      <c r="D33" s="84">
        <f>'negyedéves P&amp;L_mérleg'!D33/$N$38*1000</f>
        <v>0</v>
      </c>
      <c r="E33" s="92">
        <f>'negyedéves P&amp;L_mérleg'!E33/$N$38*1000</f>
        <v>0</v>
      </c>
      <c r="F33" s="84">
        <f>'negyedéves P&amp;L_mérleg'!F33/$N$38*1000</f>
        <v>0</v>
      </c>
      <c r="G33" s="92">
        <f>'negyedéves P&amp;L_mérleg'!G33/$N$38*1000</f>
        <v>0</v>
      </c>
      <c r="H33" s="84">
        <f>'negyedéves P&amp;L_mérleg'!H33/$N$38*1000</f>
        <v>0</v>
      </c>
      <c r="I33" s="92">
        <f>'negyedéves P&amp;L_mérleg'!I33/$N$38*1000</f>
        <v>0</v>
      </c>
      <c r="J33" s="84">
        <f>'negyedéves P&amp;L_mérleg'!J33/$N$38*1000</f>
        <v>0</v>
      </c>
      <c r="K33" s="92">
        <f>'negyedéves P&amp;L_mérleg'!K33/$N$38*1000</f>
        <v>0</v>
      </c>
      <c r="L33" s="84">
        <f>'negyedéves P&amp;L_mérleg'!L33/$N$38*1000</f>
        <v>0</v>
      </c>
      <c r="M33" s="92">
        <f>'negyedéves P&amp;L_mérleg'!M33/$N$38*1000</f>
        <v>0</v>
      </c>
      <c r="N33" s="84">
        <f>'negyedéves P&amp;L_mérleg'!N33/N$38*1000</f>
        <v>0</v>
      </c>
      <c r="O33" s="92">
        <f>'negyedéves P&amp;L_mérleg'!O33/O$38*1000</f>
        <v>0</v>
      </c>
      <c r="P33" s="84">
        <f>'negyedéves P&amp;L_mérleg'!P33/P$38*1000</f>
        <v>0</v>
      </c>
      <c r="Q33" s="92">
        <f>'negyedéves P&amp;L_mérleg'!Q33/Q$38*1000</f>
        <v>0</v>
      </c>
      <c r="R33" s="84">
        <f>'negyedéves P&amp;L_mérleg'!R33/R$38*1000</f>
        <v>0</v>
      </c>
      <c r="S33" s="92">
        <f>'negyedéves P&amp;L_mérleg'!S33/S$38*1000</f>
        <v>0</v>
      </c>
      <c r="T33" s="84">
        <f>'negyedéves P&amp;L_mérleg'!T33/T$38*1000</f>
        <v>0</v>
      </c>
      <c r="U33" s="92">
        <f>'negyedéves P&amp;L_mérleg'!U33/U$38*1000</f>
        <v>0</v>
      </c>
      <c r="V33" s="84">
        <f>'negyedéves P&amp;L_mérleg'!V33/V$38*1000</f>
        <v>0</v>
      </c>
      <c r="W33" s="92">
        <f>'negyedéves P&amp;L_mérleg'!W33/W$38*1000</f>
        <v>0</v>
      </c>
      <c r="X33" s="84">
        <f>'negyedéves P&amp;L_mérleg'!X33/X$38*1000</f>
        <v>0</v>
      </c>
      <c r="Y33" s="92">
        <f>'negyedéves P&amp;L_mérleg'!Y33/Y$38*1000</f>
        <v>0</v>
      </c>
      <c r="Z33" s="84">
        <f>'negyedéves P&amp;L_mérleg'!Z33/Z$38*1000</f>
        <v>0</v>
      </c>
      <c r="AA33" s="92">
        <f>'negyedéves P&amp;L_mérleg'!AA33/AA$38*1000</f>
        <v>78411.297608994384</v>
      </c>
      <c r="AB33" s="84">
        <f>'negyedéves P&amp;L_mérleg'!AB33/AB$38*1000</f>
        <v>0</v>
      </c>
      <c r="AC33" s="92">
        <f>'negyedéves P&amp;L_mérleg'!AC33/AC$38*1000</f>
        <v>31013.391533963841</v>
      </c>
      <c r="AD33" s="84">
        <f>'negyedéves P&amp;L_mérleg'!AD33/AD$38*1000</f>
        <v>27446.994908626199</v>
      </c>
      <c r="AE33" s="92">
        <f>'negyedéves P&amp;L_mérleg'!AE33/AE$38*1000</f>
        <v>40649.981712733163</v>
      </c>
      <c r="AF33" s="84">
        <f>'negyedéves P&amp;L_mérleg'!AF33/AF$38*1000</f>
        <v>41803.979733724067</v>
      </c>
      <c r="AG33" s="92">
        <f>'negyedéves P&amp;L_mérleg'!AG33/AG$38*1000</f>
        <v>39761.293351891691</v>
      </c>
      <c r="AH33" s="84">
        <f>'negyedéves P&amp;L_mérleg'!AH33/AH$38*1000</f>
        <v>34737.592411208367</v>
      </c>
      <c r="AI33" s="92">
        <f>'negyedéves P&amp;L_mérleg'!AI33/AI$38*1000</f>
        <v>51856.909458899267</v>
      </c>
    </row>
    <row r="34" spans="2:35" ht="15" thickBot="1" x14ac:dyDescent="0.35">
      <c r="B34" s="63" t="s">
        <v>329</v>
      </c>
      <c r="C34" s="63" t="s">
        <v>331</v>
      </c>
      <c r="D34" s="84">
        <f>'negyedéves P&amp;L_mérleg'!D34/$N$38*1000</f>
        <v>0</v>
      </c>
      <c r="E34" s="92">
        <f>'negyedéves P&amp;L_mérleg'!E34/$N$38*1000</f>
        <v>0</v>
      </c>
      <c r="F34" s="84">
        <f>'negyedéves P&amp;L_mérleg'!F34/$N$38*1000</f>
        <v>0</v>
      </c>
      <c r="G34" s="92">
        <f>'negyedéves P&amp;L_mérleg'!G34/$N$38*1000</f>
        <v>0</v>
      </c>
      <c r="H34" s="84">
        <f>'negyedéves P&amp;L_mérleg'!H34/$N$38*1000</f>
        <v>0</v>
      </c>
      <c r="I34" s="92">
        <f>'negyedéves P&amp;L_mérleg'!I34/$N$38*1000</f>
        <v>0</v>
      </c>
      <c r="J34" s="84">
        <f>'negyedéves P&amp;L_mérleg'!J34/$N$38*1000</f>
        <v>0</v>
      </c>
      <c r="K34" s="92">
        <f>'negyedéves P&amp;L_mérleg'!K34/$N$38*1000</f>
        <v>0</v>
      </c>
      <c r="L34" s="84">
        <f>'negyedéves P&amp;L_mérleg'!L34/$N$38*1000</f>
        <v>0</v>
      </c>
      <c r="M34" s="92">
        <f>'negyedéves P&amp;L_mérleg'!M34/$N$38*1000</f>
        <v>0</v>
      </c>
      <c r="N34" s="84">
        <f>'negyedéves P&amp;L_mérleg'!N34/N$38*1000</f>
        <v>0</v>
      </c>
      <c r="O34" s="92">
        <f>'negyedéves P&amp;L_mérleg'!O34/O$38*1000</f>
        <v>0</v>
      </c>
      <c r="P34" s="84">
        <f>'negyedéves P&amp;L_mérleg'!P34/P$38*1000</f>
        <v>0</v>
      </c>
      <c r="Q34" s="92">
        <f>'negyedéves P&amp;L_mérleg'!Q34/Q$38*1000</f>
        <v>0</v>
      </c>
      <c r="R34" s="84">
        <f>'negyedéves P&amp;L_mérleg'!R34/R$38*1000</f>
        <v>0</v>
      </c>
      <c r="S34" s="92">
        <f>'negyedéves P&amp;L_mérleg'!S34/S$38*1000</f>
        <v>0</v>
      </c>
      <c r="T34" s="84">
        <f>'negyedéves P&amp;L_mérleg'!T34/T$38*1000</f>
        <v>0</v>
      </c>
      <c r="U34" s="92">
        <f>'negyedéves P&amp;L_mérleg'!U34/U$38*1000</f>
        <v>0</v>
      </c>
      <c r="V34" s="84">
        <f>'negyedéves P&amp;L_mérleg'!V34/V$38*1000</f>
        <v>0</v>
      </c>
      <c r="W34" s="92">
        <f>'negyedéves P&amp;L_mérleg'!W34/W$38*1000</f>
        <v>0</v>
      </c>
      <c r="X34" s="84">
        <f>'negyedéves P&amp;L_mérleg'!X34/X$38*1000</f>
        <v>0</v>
      </c>
      <c r="Y34" s="92">
        <f>'negyedéves P&amp;L_mérleg'!Y34/Y$38*1000</f>
        <v>0</v>
      </c>
      <c r="Z34" s="84">
        <f>'negyedéves P&amp;L_mérleg'!Z34/Z$38*1000</f>
        <v>0</v>
      </c>
      <c r="AA34" s="92">
        <f>'negyedéves P&amp;L_mérleg'!AA34/AA$38*1000</f>
        <v>32111.828527170495</v>
      </c>
      <c r="AB34" s="84">
        <f>'negyedéves P&amp;L_mérleg'!AB34/AB$38*1000</f>
        <v>14651.845232158319</v>
      </c>
      <c r="AC34" s="92">
        <f>'negyedéves P&amp;L_mérleg'!AC34/AC$38*1000</f>
        <v>14509.740522188989</v>
      </c>
      <c r="AD34" s="84">
        <f>'negyedéves P&amp;L_mérleg'!AD34/AD$38*1000</f>
        <v>16162.825142492011</v>
      </c>
      <c r="AE34" s="92">
        <f>'negyedéves P&amp;L_mérleg'!AE34/AE$38*1000</f>
        <v>14582.789069439366</v>
      </c>
      <c r="AF34" s="84">
        <f>'negyedéves P&amp;L_mérleg'!AF34/AF$38*1000</f>
        <v>21256.458429123624</v>
      </c>
      <c r="AG34" s="92">
        <f>'negyedéves P&amp;L_mérleg'!AG34/AG$38*1000</f>
        <v>15059.80575477666</v>
      </c>
      <c r="AH34" s="84">
        <f>'negyedéves P&amp;L_mérleg'!AH34/AH$38*1000</f>
        <v>21228.255936210899</v>
      </c>
      <c r="AI34" s="92">
        <f>'negyedéves P&amp;L_mérleg'!AI34/AI$38*1000</f>
        <v>8545.6850935160583</v>
      </c>
    </row>
    <row r="35" spans="2:35" ht="15.6" thickTop="1" thickBot="1" x14ac:dyDescent="0.35">
      <c r="B35" s="65" t="s">
        <v>41</v>
      </c>
      <c r="C35" s="65" t="s">
        <v>42</v>
      </c>
      <c r="D35" s="85">
        <f>'negyedéves P&amp;L_mérleg'!D35/$N$38*1000</f>
        <v>46528.726630808305</v>
      </c>
      <c r="E35" s="93">
        <f>'negyedéves P&amp;L_mérleg'!E35/$N$38*1000</f>
        <v>44284.607515314514</v>
      </c>
      <c r="F35" s="85">
        <f>'negyedéves P&amp;L_mérleg'!F35/$N$38*1000</f>
        <v>44094.219746003284</v>
      </c>
      <c r="G35" s="93">
        <f>'negyedéves P&amp;L_mérleg'!G35/$N$38*1000</f>
        <v>49589.115180038862</v>
      </c>
      <c r="H35" s="85">
        <f>'negyedéves P&amp;L_mérleg'!H35/$N$38*1000</f>
        <v>50480.902590766476</v>
      </c>
      <c r="I35" s="93">
        <f>'negyedéves P&amp;L_mérleg'!I35/$N$38*1000</f>
        <v>47593.073697893327</v>
      </c>
      <c r="J35" s="85">
        <f>'negyedéves P&amp;L_mérleg'!J35/$N$38*1000</f>
        <v>58742.304822949365</v>
      </c>
      <c r="K35" s="93">
        <f>'negyedéves P&amp;L_mérleg'!K35/$N$38*1000</f>
        <v>68307.47976692066</v>
      </c>
      <c r="L35" s="85">
        <f>'negyedéves P&amp;L_mérleg'!L35/$N$38*1000</f>
        <v>77052.443125653677</v>
      </c>
      <c r="M35" s="93">
        <f>'negyedéves P&amp;L_mérleg'!M35/$N$38*1000</f>
        <v>99242.383224264166</v>
      </c>
      <c r="N35" s="85">
        <f>'negyedéves P&amp;L_mérleg'!N35/N$38*1000</f>
        <v>99145.375765725388</v>
      </c>
      <c r="O35" s="93">
        <f>'negyedéves P&amp;L_mérleg'!O35/O$38*1000</f>
        <v>113990.07624349512</v>
      </c>
      <c r="P35" s="85">
        <f>'negyedéves P&amp;L_mérleg'!P35/P$38*1000</f>
        <v>110295.46910245344</v>
      </c>
      <c r="Q35" s="93">
        <f>'negyedéves P&amp;L_mérleg'!Q35/Q$38*1000</f>
        <v>106228.7909807331</v>
      </c>
      <c r="R35" s="85">
        <f>'negyedéves P&amp;L_mérleg'!R35/R$38*1000</f>
        <v>101979.98080351022</v>
      </c>
      <c r="S35" s="93">
        <f>'negyedéves P&amp;L_mérleg'!S35/S$38*1000</f>
        <v>122927.06707200177</v>
      </c>
      <c r="T35" s="85">
        <f>'negyedéves P&amp;L_mérleg'!T35/T$38*1000</f>
        <v>124358.72762763588</v>
      </c>
      <c r="U35" s="93">
        <f>'negyedéves P&amp;L_mérleg'!U35/U$38*1000</f>
        <v>139514.35066780337</v>
      </c>
      <c r="V35" s="85">
        <f>'negyedéves P&amp;L_mérleg'!V35/V$38*1000</f>
        <v>177837.74825252415</v>
      </c>
      <c r="W35" s="93">
        <f>'negyedéves P&amp;L_mérleg'!W35/W$38*1000</f>
        <v>164663.27371273714</v>
      </c>
      <c r="X35" s="85">
        <f>'negyedéves P&amp;L_mérleg'!X35/X$38*1000</f>
        <v>179029.34365023539</v>
      </c>
      <c r="Y35" s="93">
        <f>'negyedéves P&amp;L_mérleg'!Y35/Y$38*1000</f>
        <v>166946.43982356647</v>
      </c>
      <c r="Z35" s="85">
        <f>'negyedéves P&amp;L_mérleg'!Z35/Z$38*1000</f>
        <v>205946.70273605277</v>
      </c>
      <c r="AA35" s="93">
        <f>'negyedéves P&amp;L_mérleg'!AA35/AA$38*1000</f>
        <v>249894.80074953157</v>
      </c>
      <c r="AB35" s="85">
        <f>'negyedéves P&amp;L_mérleg'!AB35/AB$38*1000</f>
        <v>235721.1396624583</v>
      </c>
      <c r="AC35" s="93">
        <f>'negyedéves P&amp;L_mérleg'!AC35/AC$38*1000</f>
        <v>223975.42640045268</v>
      </c>
      <c r="AD35" s="85">
        <f>'negyedéves P&amp;L_mérleg'!AD35/AD$38*1000</f>
        <v>217431.30990415334</v>
      </c>
      <c r="AE35" s="93">
        <f>'negyedéves P&amp;L_mérleg'!AE35/AE$38*1000</f>
        <v>240289.46130936834</v>
      </c>
      <c r="AF35" s="85">
        <f>'negyedéves P&amp;L_mérleg'!AF35/AF$38*1000</f>
        <v>232277.57623222092</v>
      </c>
      <c r="AG35" s="93">
        <f>'negyedéves P&amp;L_mérleg'!AG35/AG$38*1000</f>
        <v>209242.070099962</v>
      </c>
      <c r="AH35" s="85">
        <f>'negyedéves P&amp;L_mérleg'!AH35/AH$38*1000</f>
        <v>218219.8812757823</v>
      </c>
      <c r="AI35" s="93">
        <f>'negyedéves P&amp;L_mérleg'!AI35/AI$38*1000</f>
        <v>239127.99629349654</v>
      </c>
    </row>
    <row r="36" spans="2:35" ht="15" thickTop="1" x14ac:dyDescent="0.3">
      <c r="D36" s="107"/>
      <c r="E36" s="107"/>
      <c r="F36" s="107"/>
      <c r="G36" s="72"/>
      <c r="H36" s="106"/>
      <c r="I36" s="72"/>
      <c r="J36" s="106"/>
      <c r="K36" s="72"/>
      <c r="L36" s="106"/>
      <c r="M36" s="72"/>
      <c r="N36" s="106"/>
      <c r="O36" s="72"/>
      <c r="P36" s="106"/>
      <c r="Q36" s="72"/>
      <c r="R36" s="106"/>
      <c r="S36" s="72"/>
      <c r="T36" s="106"/>
      <c r="U36" s="72"/>
      <c r="V36" s="106"/>
      <c r="W36" s="72"/>
      <c r="X36" s="106"/>
      <c r="Y36" s="72"/>
      <c r="Z36" s="106"/>
      <c r="AA36" s="72"/>
      <c r="AB36" s="106"/>
      <c r="AC36" s="72"/>
      <c r="AD36" s="106"/>
      <c r="AE36" s="72"/>
      <c r="AF36" s="106"/>
      <c r="AG36" s="72"/>
      <c r="AH36" s="106"/>
      <c r="AI36" s="72"/>
    </row>
    <row r="37" spans="2:35" ht="18" outlineLevel="1" x14ac:dyDescent="0.35">
      <c r="D37" s="364"/>
      <c r="E37" s="364"/>
      <c r="G37" s="72"/>
      <c r="H37" s="106"/>
      <c r="I37" s="72"/>
      <c r="J37" s="106"/>
      <c r="K37" s="72"/>
      <c r="L37" s="106"/>
      <c r="M37" s="72"/>
      <c r="N37" s="106"/>
      <c r="O37" s="72"/>
      <c r="P37" s="106"/>
      <c r="Q37" s="72"/>
      <c r="R37" s="106"/>
      <c r="S37" s="72"/>
      <c r="T37" s="106"/>
      <c r="U37" s="72"/>
      <c r="V37" s="106"/>
      <c r="W37" s="72"/>
      <c r="X37" s="106"/>
      <c r="Y37" s="72"/>
      <c r="Z37" s="106"/>
      <c r="AA37" s="72"/>
      <c r="AB37" s="106"/>
      <c r="AC37" s="72"/>
      <c r="AD37" s="106"/>
      <c r="AE37" s="72"/>
      <c r="AF37" s="106"/>
      <c r="AG37" s="72"/>
      <c r="AH37" s="106"/>
      <c r="AI37" s="72"/>
    </row>
    <row r="38" spans="2:35" outlineLevel="1" x14ac:dyDescent="0.3">
      <c r="C38" s="4" t="s">
        <v>343</v>
      </c>
      <c r="D38" s="72">
        <f t="shared" ref="D38:AH40" si="1">D25</f>
        <v>308.7</v>
      </c>
      <c r="E38" s="140">
        <f t="shared" si="1"/>
        <v>308.87</v>
      </c>
      <c r="F38" s="140">
        <f t="shared" si="1"/>
        <v>311.23</v>
      </c>
      <c r="G38" s="140" t="e">
        <f t="shared" si="1"/>
        <v>#REF!</v>
      </c>
      <c r="H38" s="140">
        <f t="shared" si="1"/>
        <v>312.55</v>
      </c>
      <c r="I38" s="140">
        <f t="shared" si="1"/>
        <v>328.6</v>
      </c>
      <c r="J38" s="140">
        <f t="shared" si="1"/>
        <v>323.77999999999997</v>
      </c>
      <c r="K38" s="140" t="e">
        <f t="shared" si="1"/>
        <v>#REF!</v>
      </c>
      <c r="L38" s="140">
        <f t="shared" si="1"/>
        <v>320.79000000000002</v>
      </c>
      <c r="M38" s="140">
        <f t="shared" si="1"/>
        <v>323.54000000000002</v>
      </c>
      <c r="N38" s="140">
        <f t="shared" si="1"/>
        <v>334.65</v>
      </c>
      <c r="O38" s="140">
        <f t="shared" si="1"/>
        <v>330.52</v>
      </c>
      <c r="P38" s="140">
        <f t="shared" si="1"/>
        <v>359.09</v>
      </c>
      <c r="Q38" s="140">
        <f t="shared" si="1"/>
        <v>356.57</v>
      </c>
      <c r="R38" s="140">
        <f t="shared" si="1"/>
        <v>364.65</v>
      </c>
      <c r="S38" s="140">
        <f t="shared" si="1"/>
        <v>365.13</v>
      </c>
      <c r="T38" s="140">
        <f t="shared" si="1"/>
        <v>363.73</v>
      </c>
      <c r="U38" s="140">
        <f t="shared" si="1"/>
        <v>351.9</v>
      </c>
      <c r="V38" s="140">
        <f t="shared" si="1"/>
        <v>360.52</v>
      </c>
      <c r="W38" s="140">
        <f t="shared" si="1"/>
        <v>369</v>
      </c>
      <c r="X38" s="140">
        <f t="shared" si="1"/>
        <v>369.62</v>
      </c>
      <c r="Y38" s="140">
        <f t="shared" si="1"/>
        <v>396.75</v>
      </c>
      <c r="Z38" s="140">
        <f t="shared" si="1"/>
        <v>421.41</v>
      </c>
      <c r="AA38" s="140">
        <f t="shared" si="1"/>
        <v>400.25</v>
      </c>
      <c r="AB38" s="140">
        <f t="shared" si="1"/>
        <v>380.99</v>
      </c>
      <c r="AC38" s="140">
        <f t="shared" si="1"/>
        <v>371.13</v>
      </c>
      <c r="AD38" s="140">
        <f t="shared" si="1"/>
        <v>391.25</v>
      </c>
      <c r="AE38" s="140">
        <f t="shared" si="1"/>
        <v>382.78</v>
      </c>
      <c r="AF38" s="140">
        <f t="shared" si="1"/>
        <v>395.83</v>
      </c>
      <c r="AG38" s="140">
        <f t="shared" si="1"/>
        <v>395.15</v>
      </c>
      <c r="AH38" s="140">
        <f t="shared" si="1"/>
        <v>397.56</v>
      </c>
      <c r="AI38" s="140">
        <v>410.09</v>
      </c>
    </row>
    <row r="39" spans="2:35" outlineLevel="1" x14ac:dyDescent="0.3">
      <c r="B39" s="112" t="s">
        <v>356</v>
      </c>
      <c r="C39" s="112" t="s">
        <v>1</v>
      </c>
      <c r="D39" s="102">
        <f t="shared" si="1"/>
        <v>42825</v>
      </c>
      <c r="E39" s="102">
        <f t="shared" si="1"/>
        <v>42916</v>
      </c>
      <c r="F39" s="102">
        <f t="shared" si="1"/>
        <v>43008</v>
      </c>
      <c r="G39" s="102">
        <f t="shared" si="1"/>
        <v>43100</v>
      </c>
      <c r="H39" s="102">
        <f t="shared" si="1"/>
        <v>43190</v>
      </c>
      <c r="I39" s="102">
        <f t="shared" si="1"/>
        <v>43281</v>
      </c>
      <c r="J39" s="102">
        <f t="shared" si="1"/>
        <v>43373</v>
      </c>
      <c r="K39" s="102">
        <f t="shared" si="1"/>
        <v>43465</v>
      </c>
      <c r="L39" s="102">
        <f t="shared" si="1"/>
        <v>43555</v>
      </c>
      <c r="M39" s="102">
        <f t="shared" si="1"/>
        <v>43646</v>
      </c>
      <c r="N39" s="102">
        <f t="shared" si="1"/>
        <v>43738</v>
      </c>
      <c r="O39" s="102">
        <v>43830</v>
      </c>
      <c r="P39" s="102" t="str">
        <f>+P26</f>
        <v>2020 Q1</v>
      </c>
      <c r="Q39" s="102" t="str">
        <f>+Q26</f>
        <v>2020 Q2</v>
      </c>
      <c r="R39" s="102" t="str">
        <f>+R26</f>
        <v>2020 Q3</v>
      </c>
      <c r="S39" s="102" t="s">
        <v>279</v>
      </c>
      <c r="T39" s="102" t="s">
        <v>284</v>
      </c>
      <c r="U39" s="102" t="s">
        <v>300</v>
      </c>
      <c r="V39" s="102" t="s">
        <v>301</v>
      </c>
      <c r="W39" s="102" t="s">
        <v>301</v>
      </c>
      <c r="X39" s="102" t="str">
        <f>+X26</f>
        <v>2022 Q1</v>
      </c>
      <c r="Y39" s="102" t="s">
        <v>308</v>
      </c>
      <c r="Z39" s="102" t="s">
        <v>310</v>
      </c>
      <c r="AA39" s="102" t="str">
        <f>+AA26</f>
        <v>2022 Q4</v>
      </c>
      <c r="AB39" s="102" t="str">
        <f>+AB26</f>
        <v>2023 Q1</v>
      </c>
      <c r="AC39" s="102" t="s">
        <v>346</v>
      </c>
      <c r="AD39" s="102" t="str">
        <f t="shared" ref="AD39:AI39" si="2">+AD26</f>
        <v>2023 Q3</v>
      </c>
      <c r="AE39" s="102" t="str">
        <f t="shared" si="2"/>
        <v>2024 Q1</v>
      </c>
      <c r="AF39" s="102" t="str">
        <f t="shared" si="2"/>
        <v>2024 Q1</v>
      </c>
      <c r="AG39" s="102" t="str">
        <f t="shared" si="2"/>
        <v>2024H1</v>
      </c>
      <c r="AH39" s="102" t="str">
        <f t="shared" si="2"/>
        <v>2024Q3</v>
      </c>
      <c r="AI39" s="102" t="str">
        <f t="shared" si="2"/>
        <v>2024Q4</v>
      </c>
    </row>
    <row r="40" spans="2:35" ht="15" customHeight="1" outlineLevel="1" thickBot="1" x14ac:dyDescent="0.35">
      <c r="B40" s="112" t="s">
        <v>355</v>
      </c>
      <c r="C40" s="113" t="s">
        <v>303</v>
      </c>
      <c r="D40" s="100" t="str">
        <f t="shared" si="1"/>
        <v>not audited</v>
      </c>
      <c r="E40" s="100" t="str">
        <f t="shared" si="1"/>
        <v>not audited</v>
      </c>
      <c r="F40" s="100" t="str">
        <f t="shared" si="1"/>
        <v>not audited</v>
      </c>
      <c r="G40" s="100" t="str">
        <f t="shared" si="1"/>
        <v>not audited</v>
      </c>
      <c r="H40" s="100" t="str">
        <f t="shared" si="1"/>
        <v>not audited</v>
      </c>
      <c r="I40" s="100" t="str">
        <f t="shared" si="1"/>
        <v>not audited</v>
      </c>
      <c r="J40" s="100" t="str">
        <f t="shared" si="1"/>
        <v>not audited</v>
      </c>
      <c r="K40" s="100" t="str">
        <f t="shared" si="1"/>
        <v>not audited</v>
      </c>
      <c r="L40" s="100" t="str">
        <f t="shared" si="1"/>
        <v>not audited</v>
      </c>
      <c r="M40" s="100" t="str">
        <f t="shared" si="1"/>
        <v>not audited</v>
      </c>
      <c r="N40" s="100" t="str">
        <f t="shared" si="1"/>
        <v>not audited</v>
      </c>
      <c r="O40" s="67" t="str">
        <f t="shared" ref="O40:R40" si="3">N40</f>
        <v>not audited</v>
      </c>
      <c r="P40" s="100" t="str">
        <f t="shared" si="3"/>
        <v>not audited</v>
      </c>
      <c r="Q40" s="67" t="str">
        <f t="shared" si="3"/>
        <v>not audited</v>
      </c>
      <c r="R40" s="100" t="str">
        <f t="shared" si="3"/>
        <v>not audited</v>
      </c>
      <c r="S40" s="67" t="s">
        <v>281</v>
      </c>
      <c r="T40" s="100" t="s">
        <v>189</v>
      </c>
      <c r="U40" s="67" t="s">
        <v>189</v>
      </c>
      <c r="V40" s="100" t="s">
        <v>189</v>
      </c>
      <c r="W40" s="67" t="s">
        <v>189</v>
      </c>
      <c r="X40" s="100" t="s">
        <v>189</v>
      </c>
      <c r="Y40" s="67" t="s">
        <v>189</v>
      </c>
      <c r="Z40" s="67" t="s">
        <v>189</v>
      </c>
      <c r="AA40" s="67" t="s">
        <v>281</v>
      </c>
      <c r="AB40" s="100" t="s">
        <v>189</v>
      </c>
      <c r="AC40" s="67" t="s">
        <v>189</v>
      </c>
      <c r="AD40" s="100" t="s">
        <v>189</v>
      </c>
      <c r="AE40" s="67" t="s">
        <v>281</v>
      </c>
      <c r="AF40" s="100" t="s">
        <v>189</v>
      </c>
      <c r="AG40" s="67" t="s">
        <v>189</v>
      </c>
      <c r="AH40" s="100" t="s">
        <v>189</v>
      </c>
      <c r="AI40" s="67" t="s">
        <v>281</v>
      </c>
    </row>
    <row r="41" spans="2:35" ht="15.6" outlineLevel="1" thickTop="1" thickBot="1" x14ac:dyDescent="0.35">
      <c r="B41" s="154" t="s">
        <v>43</v>
      </c>
      <c r="C41" s="154" t="s">
        <v>44</v>
      </c>
      <c r="D41" s="85">
        <f>'negyedéves P&amp;L_mérleg'!D41/$N$38*1000</f>
        <v>13414.470333183928</v>
      </c>
      <c r="E41" s="93">
        <f>'negyedéves P&amp;L_mérleg'!E41/$N$38*1000</f>
        <v>13951.694812490663</v>
      </c>
      <c r="F41" s="85">
        <f>'negyedéves P&amp;L_mérleg'!F41/$N$38*1000</f>
        <v>14277.80874346332</v>
      </c>
      <c r="G41" s="93">
        <f>'negyedéves P&amp;L_mérleg'!G41/$N$38*1000</f>
        <v>15298.058963095771</v>
      </c>
      <c r="H41" s="85">
        <f>'negyedéves P&amp;L_mérleg'!H41/$N$38*1000</f>
        <v>15420.107661736145</v>
      </c>
      <c r="I41" s="93">
        <f>'negyedéves P&amp;L_mérleg'!I41/$N$38*1000</f>
        <v>15253.06691468699</v>
      </c>
      <c r="J41" s="85">
        <f>'negyedéves P&amp;L_mérleg'!J41/$N$38*1000</f>
        <v>16409.487814134172</v>
      </c>
      <c r="K41" s="93">
        <f>'negyedéves P&amp;L_mérleg'!K41/$N$38*1000</f>
        <v>15373.474041535932</v>
      </c>
      <c r="L41" s="85">
        <f>'negyedéves P&amp;L_mérleg'!L41/$N$38*1000</f>
        <v>19113.409995517708</v>
      </c>
      <c r="M41" s="93">
        <f>'negyedéves P&amp;L_mérleg'!M41/$N$38*1000</f>
        <v>18855.990661885549</v>
      </c>
      <c r="N41" s="85">
        <f>'negyedéves P&amp;L_mérleg'!N41/N$38*1000</f>
        <v>18493.948901837743</v>
      </c>
      <c r="O41" s="93">
        <f>'negyedéves P&amp;L_mérleg'!O41/O$38*1000</f>
        <v>17457.339949171004</v>
      </c>
      <c r="P41" s="85">
        <f>'negyedéves P&amp;L_mérleg'!P41/P$38*1000</f>
        <v>17547.133030716534</v>
      </c>
      <c r="Q41" s="93">
        <f>'negyedéves P&amp;L_mérleg'!Q41/Q$38*1000</f>
        <v>21277.729478082845</v>
      </c>
      <c r="R41" s="85">
        <f>'negyedéves P&amp;L_mérleg'!R41/R$38*1000</f>
        <v>23831.070889894421</v>
      </c>
      <c r="S41" s="93">
        <f>'negyedéves P&amp;L_mérleg'!S41/S$38*1000</f>
        <v>23409.900583353872</v>
      </c>
      <c r="T41" s="85">
        <f>'negyedéves P&amp;L_mérleg'!T41/T$38*1000</f>
        <v>27414.378797459656</v>
      </c>
      <c r="U41" s="93">
        <f>'negyedéves P&amp;L_mérleg'!U41/U$38*1000</f>
        <v>39889.173060528563</v>
      </c>
      <c r="V41" s="85">
        <f>'negyedéves P&amp;L_mérleg'!V41/V$38*1000</f>
        <v>66189.204482414294</v>
      </c>
      <c r="W41" s="93">
        <f>'negyedéves P&amp;L_mérleg'!W41/W$38*1000</f>
        <v>51515.818428184284</v>
      </c>
      <c r="X41" s="85">
        <f>'negyedéves P&amp;L_mérleg'!X41/X$38*1000</f>
        <v>67716.947134895294</v>
      </c>
      <c r="Y41" s="93">
        <f>'negyedéves P&amp;L_mérleg'!Y41/Y$38*1000</f>
        <v>73741.650913673599</v>
      </c>
      <c r="Z41" s="85">
        <f>'negyedéves P&amp;L_mérleg'!Z41/Z$38*1000</f>
        <v>84110.611993070881</v>
      </c>
      <c r="AA41" s="93">
        <f>'negyedéves P&amp;L_mérleg'!AA41/AA$38*1000</f>
        <v>66677.981261711437</v>
      </c>
      <c r="AB41" s="85">
        <f>'negyedéves P&amp;L_mérleg'!AB41/AB$38*1000</f>
        <v>81059.605238982651</v>
      </c>
      <c r="AC41" s="93">
        <f>'negyedéves P&amp;L_mérleg'!AC41/AC$38*1000</f>
        <v>87785.951014469319</v>
      </c>
      <c r="AD41" s="85">
        <f>'negyedéves P&amp;L_mérleg'!AD41/AD$38*1000</f>
        <v>88627.008306709278</v>
      </c>
      <c r="AE41" s="93">
        <f>'negyedéves P&amp;L_mérleg'!AE41/AE$38*1000</f>
        <v>88442.447358796184</v>
      </c>
      <c r="AF41" s="85">
        <f>'negyedéves P&amp;L_mérleg'!AF41/AF$38*1000</f>
        <v>95332.852487178854</v>
      </c>
      <c r="AG41" s="93">
        <f>'negyedéves P&amp;L_mérleg'!AG41/AG$38*1000</f>
        <v>85329.323041882832</v>
      </c>
      <c r="AH41" s="85">
        <f>'negyedéves P&amp;L_mérleg'!AH41/AH$38*1000</f>
        <v>92019.07133514437</v>
      </c>
      <c r="AI41" s="93">
        <f>'negyedéves P&amp;L_mérleg'!AI41/AI$38*1000</f>
        <v>96232.53432173426</v>
      </c>
    </row>
    <row r="42" spans="2:35" ht="15.6" outlineLevel="1" thickTop="1" thickBot="1" x14ac:dyDescent="0.35">
      <c r="B42" s="157" t="s">
        <v>305</v>
      </c>
      <c r="C42" s="158" t="s">
        <v>306</v>
      </c>
      <c r="D42" s="276">
        <f>'negyedéves P&amp;L_mérleg'!D42/$N$38*1000</f>
        <v>0</v>
      </c>
      <c r="E42" s="277">
        <f>'negyedéves P&amp;L_mérleg'!E42/$N$38*1000</f>
        <v>0</v>
      </c>
      <c r="F42" s="276">
        <f>'negyedéves P&amp;L_mérleg'!F42/$N$38*1000</f>
        <v>0</v>
      </c>
      <c r="G42" s="277">
        <f>'negyedéves P&amp;L_mérleg'!G42/$N$38*1000</f>
        <v>0</v>
      </c>
      <c r="H42" s="276">
        <f>'negyedéves P&amp;L_mérleg'!H42/$N$38*1000</f>
        <v>0</v>
      </c>
      <c r="I42" s="277">
        <f>'negyedéves P&amp;L_mérleg'!I42/$N$38*1000</f>
        <v>0</v>
      </c>
      <c r="J42" s="276">
        <f>'negyedéves P&amp;L_mérleg'!J42/$N$38*1000</f>
        <v>0</v>
      </c>
      <c r="K42" s="277">
        <f>'negyedéves P&amp;L_mérleg'!K42/$N$38*1000</f>
        <v>0</v>
      </c>
      <c r="L42" s="276">
        <f>'negyedéves P&amp;L_mérleg'!L42/$N$38*1000</f>
        <v>0</v>
      </c>
      <c r="M42" s="277">
        <f>'negyedéves P&amp;L_mérleg'!M42/$N$38*1000</f>
        <v>0</v>
      </c>
      <c r="N42" s="276">
        <f>'negyedéves P&amp;L_mérleg'!N42/N$38*1000</f>
        <v>0</v>
      </c>
      <c r="O42" s="277">
        <f>'negyedéves P&amp;L_mérleg'!O42/O$38*1000</f>
        <v>0</v>
      </c>
      <c r="P42" s="276">
        <f>'negyedéves P&amp;L_mérleg'!P42/P$38*1000</f>
        <v>0</v>
      </c>
      <c r="Q42" s="277">
        <f>'negyedéves P&amp;L_mérleg'!Q42/Q$38*1000</f>
        <v>0</v>
      </c>
      <c r="R42" s="276">
        <f>'negyedéves P&amp;L_mérleg'!R42/R$38*1000</f>
        <v>0</v>
      </c>
      <c r="S42" s="277">
        <f>'negyedéves P&amp;L_mérleg'!S42/S$38*1000</f>
        <v>0</v>
      </c>
      <c r="T42" s="276">
        <f>'negyedéves P&amp;L_mérleg'!T42/T$38*1000</f>
        <v>0</v>
      </c>
      <c r="U42" s="277">
        <f>'negyedéves P&amp;L_mérleg'!U42/U$38*1000</f>
        <v>0</v>
      </c>
      <c r="V42" s="276">
        <f>'negyedéves P&amp;L_mérleg'!V42/V$38*1000</f>
        <v>0</v>
      </c>
      <c r="W42" s="277">
        <f>'negyedéves P&amp;L_mérleg'!W42/W$38*1000</f>
        <v>14380.572978319784</v>
      </c>
      <c r="X42" s="276">
        <f>'negyedéves P&amp;L_mérleg'!X42/X$38*1000</f>
        <v>23711.400110924737</v>
      </c>
      <c r="Y42" s="277">
        <f>'negyedéves P&amp;L_mérleg'!Y42/Y$38*1000</f>
        <v>24299.936988027723</v>
      </c>
      <c r="Z42" s="276">
        <f>'negyedéves P&amp;L_mérleg'!Z42/Z$38*1000</f>
        <v>29993.823309840769</v>
      </c>
      <c r="AA42" s="277">
        <f>'negyedéves P&amp;L_mérleg'!AA42/AA$38*1000</f>
        <v>5169.8819812617121</v>
      </c>
      <c r="AB42" s="276">
        <f>'negyedéves P&amp;L_mérleg'!AB42/AB$38*1000</f>
        <v>1422.2995537940626</v>
      </c>
      <c r="AC42" s="277">
        <f>'negyedéves P&amp;L_mérleg'!AC42/AC$38*1000</f>
        <v>603.56209414490877</v>
      </c>
      <c r="AD42" s="276">
        <f>'negyedéves P&amp;L_mérleg'!AD42/AD$38*1000</f>
        <v>-273.40146709265173</v>
      </c>
      <c r="AE42" s="277">
        <f>'negyedéves P&amp;L_mérleg'!AE42/AE$38*1000</f>
        <v>-6241.1829249177081</v>
      </c>
      <c r="AF42" s="276">
        <f>'negyedéves P&amp;L_mérleg'!AF42/AF$38*1000</f>
        <v>-2860.3899982315643</v>
      </c>
      <c r="AG42" s="277">
        <f>'negyedéves P&amp;L_mérleg'!AG42/AG$38*1000</f>
        <v>-1116.1061166645579</v>
      </c>
      <c r="AH42" s="276">
        <f>'negyedéves P&amp;L_mérleg'!AH42/AH$38*1000</f>
        <v>-1134.2476808532044</v>
      </c>
      <c r="AI42" s="277">
        <f>'negyedéves P&amp;L_mérleg'!AI42/AI$38*1000</f>
        <v>0</v>
      </c>
    </row>
    <row r="43" spans="2:35" outlineLevel="2" x14ac:dyDescent="0.3">
      <c r="B43" s="299" t="s">
        <v>61</v>
      </c>
      <c r="C43" s="299" t="s">
        <v>62</v>
      </c>
      <c r="D43" s="300">
        <f>'negyedéves P&amp;L_mérleg'!D43/$N$38*1000</f>
        <v>19697.347482444344</v>
      </c>
      <c r="E43" s="301">
        <f>'negyedéves P&amp;L_mérleg'!E43/$N$38*1000</f>
        <v>18618.519477065591</v>
      </c>
      <c r="F43" s="300">
        <f>'negyedéves P&amp;L_mérleg'!F43/$N$38*1000</f>
        <v>19640.032356193035</v>
      </c>
      <c r="G43" s="301">
        <f>'negyedéves P&amp;L_mérleg'!G43/$N$38*1000</f>
        <v>18690.537743911551</v>
      </c>
      <c r="H43" s="300">
        <f>'negyedéves P&amp;L_mérleg'!H43/$N$38*1000</f>
        <v>21330.311982668463</v>
      </c>
      <c r="I43" s="301">
        <f>'negyedéves P&amp;L_mérleg'!I43/$N$38*1000</f>
        <v>19512.484518153295</v>
      </c>
      <c r="J43" s="300">
        <f>'negyedéves P&amp;L_mérleg'!J43/$N$38*1000</f>
        <v>24691.680316748843</v>
      </c>
      <c r="K43" s="301">
        <f>'negyedéves P&amp;L_mérleg'!K43/$N$38*1000</f>
        <v>27283.631779471085</v>
      </c>
      <c r="L43" s="300">
        <f>'negyedéves P&amp;L_mérleg'!L43/$N$38*1000</f>
        <v>34314.723475272673</v>
      </c>
      <c r="M43" s="301">
        <f>'negyedéves P&amp;L_mérleg'!M43/$N$38*1000</f>
        <v>59393.622411474687</v>
      </c>
      <c r="N43" s="300">
        <f>'negyedéves P&amp;L_mérleg'!N43/N$38*1000</f>
        <v>52269.535335425076</v>
      </c>
      <c r="O43" s="301">
        <f>'negyedéves P&amp;L_mérleg'!O43/O$38*1000</f>
        <v>64867.481544233327</v>
      </c>
      <c r="P43" s="300">
        <f>'negyedéves P&amp;L_mérleg'!P43/P$38*1000</f>
        <v>61497.117714222062</v>
      </c>
      <c r="Q43" s="301">
        <f>'negyedéves P&amp;L_mérleg'!Q43/Q$38*1000</f>
        <v>61738.228117901119</v>
      </c>
      <c r="R43" s="300">
        <f>'negyedéves P&amp;L_mérleg'!R43/R$38*1000</f>
        <v>60282.462635403819</v>
      </c>
      <c r="S43" s="301">
        <f>'negyedéves P&amp;L_mérleg'!S43/S$38*1000</f>
        <v>76427.116369512223</v>
      </c>
      <c r="T43" s="300">
        <f>'negyedéves P&amp;L_mérleg'!T43/T$38*1000</f>
        <v>74599.540868226424</v>
      </c>
      <c r="U43" s="301">
        <f>'negyedéves P&amp;L_mérleg'!U43/U$38*1000</f>
        <v>69715.828360329644</v>
      </c>
      <c r="V43" s="300">
        <f>'negyedéves P&amp;L_mérleg'!V43/V$38*1000</f>
        <v>69750.454898479991</v>
      </c>
      <c r="W43" s="301">
        <f>'negyedéves P&amp;L_mérleg'!W43/W$38*1000</f>
        <v>66371.07859078591</v>
      </c>
      <c r="X43" s="300">
        <f>'negyedéves P&amp;L_mérleg'!X43/X$38*1000</f>
        <v>66520.907959525997</v>
      </c>
      <c r="Y43" s="301">
        <f>'negyedéves P&amp;L_mérleg'!Y43/Y$38*1000</f>
        <v>63185.885318210458</v>
      </c>
      <c r="Z43" s="300">
        <f>'negyedéves P&amp;L_mérleg'!Z43/Z$38*1000</f>
        <v>60552.69452552146</v>
      </c>
      <c r="AA43" s="301">
        <f>'negyedéves P&amp;L_mérleg'!AA43/AA$38*1000</f>
        <v>66749.861336664588</v>
      </c>
      <c r="AB43" s="300">
        <f>'negyedéves P&amp;L_mérleg'!AB43/AB$38*1000</f>
        <v>78321.399511798212</v>
      </c>
      <c r="AC43" s="301">
        <f>'negyedéves P&amp;L_mérleg'!AC43/AC$38*1000</f>
        <v>84137.633713254123</v>
      </c>
      <c r="AD43" s="300">
        <f>'negyedéves P&amp;L_mérleg'!AD43/AD$38*1000</f>
        <v>80948.687539936102</v>
      </c>
      <c r="AE43" s="301">
        <f>'negyedéves P&amp;L_mérleg'!AE43/AE$38*1000</f>
        <v>74855.008098646751</v>
      </c>
      <c r="AF43" s="300">
        <f>'negyedéves P&amp;L_mérleg'!AF43/AF$38*1000</f>
        <v>70713.056109946192</v>
      </c>
      <c r="AG43" s="301">
        <f>'negyedéves P&amp;L_mérleg'!AG43/AG$38*1000</f>
        <v>70182.216879665953</v>
      </c>
      <c r="AH43" s="300">
        <f>'negyedéves P&amp;L_mérleg'!AH43/AH$38*1000</f>
        <v>70581.75369755509</v>
      </c>
      <c r="AI43" s="301">
        <f>'negyedéves P&amp;L_mérleg'!AI43/AI$38*1000</f>
        <v>67999.707381306551</v>
      </c>
    </row>
    <row r="44" spans="2:35" s="141" customFormat="1" outlineLevel="2" x14ac:dyDescent="0.3">
      <c r="B44" s="292" t="s">
        <v>305</v>
      </c>
      <c r="C44" s="293" t="s">
        <v>306</v>
      </c>
      <c r="D44" s="284">
        <f>'negyedéves P&amp;L_mérleg'!D44/$N$38*1000</f>
        <v>0</v>
      </c>
      <c r="E44" s="283">
        <f>'negyedéves P&amp;L_mérleg'!E44/$N$38*1000</f>
        <v>0</v>
      </c>
      <c r="F44" s="284">
        <f>'negyedéves P&amp;L_mérleg'!F44/$N$38*1000</f>
        <v>0</v>
      </c>
      <c r="G44" s="283">
        <f>'negyedéves P&amp;L_mérleg'!G44/$N$38*1000</f>
        <v>0</v>
      </c>
      <c r="H44" s="284">
        <f>'negyedéves P&amp;L_mérleg'!H44/$N$38*1000</f>
        <v>0</v>
      </c>
      <c r="I44" s="283">
        <f>'negyedéves P&amp;L_mérleg'!I44/$N$38*1000</f>
        <v>0</v>
      </c>
      <c r="J44" s="284">
        <f>'negyedéves P&amp;L_mérleg'!J44/$N$38*1000</f>
        <v>0</v>
      </c>
      <c r="K44" s="283">
        <f>'negyedéves P&amp;L_mérleg'!K44/$N$38*1000</f>
        <v>0</v>
      </c>
      <c r="L44" s="284">
        <f>'negyedéves P&amp;L_mérleg'!L44/$N$38*1000</f>
        <v>0</v>
      </c>
      <c r="M44" s="283">
        <f>'negyedéves P&amp;L_mérleg'!M44/$N$38*1000</f>
        <v>0</v>
      </c>
      <c r="N44" s="284">
        <f>'negyedéves P&amp;L_mérleg'!N44/N$38*1000</f>
        <v>0</v>
      </c>
      <c r="O44" s="283">
        <f>'negyedéves P&amp;L_mérleg'!O44/O$38*1000</f>
        <v>0</v>
      </c>
      <c r="P44" s="284">
        <f>'negyedéves P&amp;L_mérleg'!P44/P$38*1000</f>
        <v>0</v>
      </c>
      <c r="Q44" s="283">
        <f>'negyedéves P&amp;L_mérleg'!Q44/Q$38*1000</f>
        <v>0</v>
      </c>
      <c r="R44" s="284">
        <f>'negyedéves P&amp;L_mérleg'!R44/R$38*1000</f>
        <v>0</v>
      </c>
      <c r="S44" s="283">
        <f>'negyedéves P&amp;L_mérleg'!S44/S$38*1000</f>
        <v>0</v>
      </c>
      <c r="T44" s="284">
        <f>'negyedéves P&amp;L_mérleg'!T44/T$38*1000</f>
        <v>0</v>
      </c>
      <c r="U44" s="283">
        <f>'negyedéves P&amp;L_mérleg'!U44/U$38*1000</f>
        <v>0</v>
      </c>
      <c r="V44" s="284">
        <f>'negyedéves P&amp;L_mérleg'!V44/V$38*1000</f>
        <v>0</v>
      </c>
      <c r="W44" s="283">
        <f>'negyedéves P&amp;L_mérleg'!W44/W$38*1000</f>
        <v>1422.7642276422764</v>
      </c>
      <c r="X44" s="284">
        <f>'negyedéves P&amp;L_mérleg'!X44/X$38*1000</f>
        <v>0</v>
      </c>
      <c r="Y44" s="283">
        <f>'negyedéves P&amp;L_mérleg'!Y44/Y$38*1000</f>
        <v>2402.0163831127916</v>
      </c>
      <c r="Z44" s="284">
        <f>'negyedéves P&amp;L_mérleg'!Z44/Z$38*1000</f>
        <v>2966.4220853800334</v>
      </c>
      <c r="AA44" s="283">
        <f>'negyedéves P&amp;L_mérleg'!AA44/AA$38*1000</f>
        <v>511.307008119925</v>
      </c>
      <c r="AB44" s="284">
        <f>'negyedéves P&amp;L_mérleg'!AB44/AB$38*1000</f>
        <v>140.66698863487233</v>
      </c>
      <c r="AC44" s="283">
        <f>'negyedéves P&amp;L_mérleg'!AC44/AC$38*1000</f>
        <v>59.278419960660692</v>
      </c>
      <c r="AD44" s="284">
        <f>'negyedéves P&amp;L_mérleg'!AD44/AD$38*1000</f>
        <v>139.8651092651757</v>
      </c>
      <c r="AE44" s="283">
        <f>'negyedéves P&amp;L_mérleg'!AE44/AE$38*1000</f>
        <v>331.7832697633105</v>
      </c>
      <c r="AF44" s="284">
        <f>'negyedéves P&amp;L_mérleg'!AF44/AF$38*1000</f>
        <v>0</v>
      </c>
      <c r="AG44" s="283">
        <f>'negyedéves P&amp;L_mérleg'!AG44/AG$38*1000</f>
        <v>2732.823031760091</v>
      </c>
      <c r="AH44" s="284">
        <f>'negyedéves P&amp;L_mérleg'!AH44/AH$38*1000</f>
        <v>2192.0209276587179</v>
      </c>
      <c r="AI44" s="283">
        <f>'negyedéves P&amp;L_mérleg'!AI44/AI$38*1000</f>
        <v>0</v>
      </c>
    </row>
    <row r="45" spans="2:35" s="141" customFormat="1" outlineLevel="2" x14ac:dyDescent="0.3">
      <c r="B45" s="292" t="s">
        <v>206</v>
      </c>
      <c r="C45" s="293" t="s">
        <v>207</v>
      </c>
      <c r="D45" s="284">
        <f>'negyedéves P&amp;L_mérleg'!D45/$N$38*1000</f>
        <v>0</v>
      </c>
      <c r="E45" s="283">
        <f>'negyedéves P&amp;L_mérleg'!E45/$N$38*1000</f>
        <v>0</v>
      </c>
      <c r="F45" s="284">
        <f>'negyedéves P&amp;L_mérleg'!F45/$N$38*1000</f>
        <v>0</v>
      </c>
      <c r="G45" s="283">
        <f>'negyedéves P&amp;L_mérleg'!G45/$N$38*1000</f>
        <v>0</v>
      </c>
      <c r="H45" s="284">
        <f>'negyedéves P&amp;L_mérleg'!H45/$N$38*1000</f>
        <v>0</v>
      </c>
      <c r="I45" s="283">
        <f>'negyedéves P&amp;L_mérleg'!I45/$N$38*1000</f>
        <v>0</v>
      </c>
      <c r="J45" s="284">
        <f>'negyedéves P&amp;L_mérleg'!J45/$N$38*1000</f>
        <v>0</v>
      </c>
      <c r="K45" s="283">
        <f>'negyedéves P&amp;L_mérleg'!K45/$N$38*1000</f>
        <v>24398.625429553267</v>
      </c>
      <c r="L45" s="284">
        <f>'negyedéves P&amp;L_mérleg'!L45/$N$38*1000</f>
        <v>31035.410129986554</v>
      </c>
      <c r="M45" s="283">
        <f>'negyedéves P&amp;L_mérleg'!M45/$N$38*1000</f>
        <v>54707.903780068737</v>
      </c>
      <c r="N45" s="284">
        <f>'negyedéves P&amp;L_mérleg'!N45/N$38*1000</f>
        <v>47590.019423278056</v>
      </c>
      <c r="O45" s="283">
        <f>'negyedéves P&amp;L_mérleg'!O45/O$38*1000</f>
        <v>58734.721045625076</v>
      </c>
      <c r="P45" s="284">
        <f>'negyedéves P&amp;L_mérleg'!P45/P$38*1000</f>
        <v>55370.519925366905</v>
      </c>
      <c r="Q45" s="283">
        <f>'negyedéves P&amp;L_mérleg'!Q45/Q$38*1000</f>
        <v>55820.736461283901</v>
      </c>
      <c r="R45" s="284">
        <f>'negyedéves P&amp;L_mérleg'!R45/R$38*1000</f>
        <v>52225.421637186344</v>
      </c>
      <c r="S45" s="283">
        <f>'negyedéves P&amp;L_mérleg'!S45/S$38*1000</f>
        <v>66682.55963629391</v>
      </c>
      <c r="T45" s="284">
        <f>'negyedéves P&amp;L_mérleg'!T45/T$38*1000</f>
        <v>66496.269210678234</v>
      </c>
      <c r="U45" s="283">
        <f>'negyedéves P&amp;L_mérleg'!U45/U$38*1000</f>
        <v>61190.679170218813</v>
      </c>
      <c r="V45" s="284">
        <f>'negyedéves P&amp;L_mérleg'!V45/V$38*1000</f>
        <v>58670.023854432497</v>
      </c>
      <c r="W45" s="283">
        <f>'negyedéves P&amp;L_mérleg'!W45/W$38*1000</f>
        <v>56718.363143631439</v>
      </c>
      <c r="X45" s="284">
        <f>'negyedéves P&amp;L_mérleg'!X45/X$38*1000</f>
        <v>56256.763703262812</v>
      </c>
      <c r="Y45" s="283">
        <f>'negyedéves P&amp;L_mérleg'!Y45/Y$38*1000</f>
        <v>52294.896030245742</v>
      </c>
      <c r="Z45" s="284">
        <f>'negyedéves P&amp;L_mérleg'!Z45/Z$38*1000</f>
        <v>48831.895303860845</v>
      </c>
      <c r="AA45" s="283">
        <f>'negyedéves P&amp;L_mérleg'!AA45/AA$38*1000</f>
        <v>52909.431605246726</v>
      </c>
      <c r="AB45" s="284">
        <f>'negyedéves P&amp;L_mérleg'!AB45/AB$38*1000</f>
        <v>63544.694086458963</v>
      </c>
      <c r="AC45" s="283">
        <f>'negyedéves P&amp;L_mérleg'!AC45/AC$38*1000</f>
        <v>68283.350847411959</v>
      </c>
      <c r="AD45" s="284">
        <f>'negyedéves P&amp;L_mérleg'!AD45/AD$38*1000</f>
        <v>65833.730351437698</v>
      </c>
      <c r="AE45" s="283">
        <f>'negyedéves P&amp;L_mérleg'!AE45/AE$38*1000</f>
        <v>63739.484821568534</v>
      </c>
      <c r="AF45" s="284">
        <f>'negyedéves P&amp;L_mérleg'!AF45/AF$38*1000</f>
        <v>60982.462168102466</v>
      </c>
      <c r="AG45" s="283">
        <f>'negyedéves P&amp;L_mérleg'!AG45/AG$38*1000</f>
        <v>60504.431228647358</v>
      </c>
      <c r="AH45" s="284">
        <f>'negyedéves P&amp;L_mérleg'!AH45/AH$38*1000</f>
        <v>59784.515544823422</v>
      </c>
      <c r="AI45" s="283">
        <f>'negyedéves P&amp;L_mérleg'!AI45/AI$38*1000</f>
        <v>56031.602818893421</v>
      </c>
    </row>
    <row r="46" spans="2:35" s="141" customFormat="1" ht="15" outlineLevel="2" thickBot="1" x14ac:dyDescent="0.35">
      <c r="B46" s="302" t="s">
        <v>333</v>
      </c>
      <c r="C46" s="303" t="s">
        <v>334</v>
      </c>
      <c r="D46" s="284">
        <f>'negyedéves P&amp;L_mérleg'!D46/$N$38*1000</f>
        <v>0</v>
      </c>
      <c r="E46" s="283">
        <f>'negyedéves P&amp;L_mérleg'!E46/$N$38*1000</f>
        <v>0</v>
      </c>
      <c r="F46" s="284">
        <f>'negyedéves P&amp;L_mérleg'!F46/$N$38*1000</f>
        <v>0</v>
      </c>
      <c r="G46" s="283">
        <f>'negyedéves P&amp;L_mérleg'!G46/$N$38*1000</f>
        <v>0</v>
      </c>
      <c r="H46" s="284">
        <f>'negyedéves P&amp;L_mérleg'!H46/$N$38*1000</f>
        <v>0</v>
      </c>
      <c r="I46" s="283">
        <f>'negyedéves P&amp;L_mérleg'!I46/$N$38*1000</f>
        <v>0</v>
      </c>
      <c r="J46" s="284">
        <f>'negyedéves P&amp;L_mérleg'!J46/$N$38*1000</f>
        <v>0</v>
      </c>
      <c r="K46" s="283">
        <f>'negyedéves P&amp;L_mérleg'!K46/$N$38*1000</f>
        <v>0</v>
      </c>
      <c r="L46" s="284">
        <f>'negyedéves P&amp;L_mérleg'!L46/$N$38*1000</f>
        <v>0</v>
      </c>
      <c r="M46" s="283">
        <f>'negyedéves P&amp;L_mérleg'!M46/$N$38*1000</f>
        <v>0</v>
      </c>
      <c r="N46" s="284">
        <f>'negyedéves P&amp;L_mérleg'!N46/N$38*1000</f>
        <v>0</v>
      </c>
      <c r="O46" s="283">
        <f>'negyedéves P&amp;L_mérleg'!O46/O$38*1000</f>
        <v>0</v>
      </c>
      <c r="P46" s="284">
        <f>'negyedéves P&amp;L_mérleg'!P46/P$38*1000</f>
        <v>0</v>
      </c>
      <c r="Q46" s="283">
        <f>'negyedéves P&amp;L_mérleg'!Q46/Q$38*1000</f>
        <v>0</v>
      </c>
      <c r="R46" s="284">
        <f>'negyedéves P&amp;L_mérleg'!R46/R$38*1000</f>
        <v>0</v>
      </c>
      <c r="S46" s="283">
        <f>'negyedéves P&amp;L_mérleg'!S46/S$38*1000</f>
        <v>0</v>
      </c>
      <c r="T46" s="284">
        <f>'negyedéves P&amp;L_mérleg'!T46/T$38*1000</f>
        <v>0</v>
      </c>
      <c r="U46" s="283">
        <f>'negyedéves P&amp;L_mérleg'!U46/U$38*1000</f>
        <v>0</v>
      </c>
      <c r="V46" s="284">
        <f>'negyedéves P&amp;L_mérleg'!V46/V$38*1000</f>
        <v>0</v>
      </c>
      <c r="W46" s="283">
        <f>'negyedéves P&amp;L_mérleg'!W46/W$38*1000</f>
        <v>0</v>
      </c>
      <c r="X46" s="284">
        <f>'negyedéves P&amp;L_mérleg'!X46/X$38*1000</f>
        <v>0</v>
      </c>
      <c r="Y46" s="283">
        <f>'negyedéves P&amp;L_mérleg'!Y46/Y$38*1000</f>
        <v>0</v>
      </c>
      <c r="Z46" s="284">
        <f>'negyedéves P&amp;L_mérleg'!Z46/Z$38*1000</f>
        <v>0</v>
      </c>
      <c r="AA46" s="283">
        <f>'negyedéves P&amp;L_mérleg'!AA46/AA$38*1000</f>
        <v>13329.122723297942</v>
      </c>
      <c r="AB46" s="284">
        <f>'negyedéves P&amp;L_mérleg'!AB46/AB$38*1000</f>
        <v>0</v>
      </c>
      <c r="AC46" s="283">
        <f>'negyedéves P&amp;L_mérleg'!AC46/AC$38*1000</f>
        <v>15795.004445881497</v>
      </c>
      <c r="AD46" s="284">
        <f>'negyedéves P&amp;L_mérleg'!AD46/AD$38*1000</f>
        <v>14975.092079233222</v>
      </c>
      <c r="AE46" s="283">
        <f>'negyedéves P&amp;L_mérleg'!AE46/AE$38*1000</f>
        <v>11116.045770416427</v>
      </c>
      <c r="AF46" s="284">
        <f>'negyedéves P&amp;L_mérleg'!AF46/AF$38*1000</f>
        <v>9730.5939418437229</v>
      </c>
      <c r="AG46" s="283">
        <f>'negyedéves P&amp;L_mérleg'!AG46/AG$38*1000</f>
        <v>6944.9626192585092</v>
      </c>
      <c r="AH46" s="284">
        <f>'negyedéves P&amp;L_mérleg'!AH46/AH$38*1000</f>
        <v>8605.2172250729454</v>
      </c>
      <c r="AI46" s="283">
        <f>'negyedéves P&amp;L_mérleg'!AI46/AI$38*1000</f>
        <v>11968.104562413129</v>
      </c>
    </row>
    <row r="47" spans="2:35" outlineLevel="2" x14ac:dyDescent="0.3">
      <c r="B47" s="299" t="s">
        <v>76</v>
      </c>
      <c r="C47" s="299" t="s">
        <v>77</v>
      </c>
      <c r="D47" s="300">
        <f>'negyedéves P&amp;L_mérleg'!D47/$N$38*1000</f>
        <v>13416.908815180041</v>
      </c>
      <c r="E47" s="301">
        <f>'negyedéves P&amp;L_mérleg'!E47/$N$38*1000</f>
        <v>11714.393225758258</v>
      </c>
      <c r="F47" s="300">
        <f>'negyedéves P&amp;L_mérleg'!F47/$N$38*1000</f>
        <v>10176.37864634693</v>
      </c>
      <c r="G47" s="301">
        <f>'negyedéves P&amp;L_mérleg'!G47/$N$38*1000</f>
        <v>15600.518473031529</v>
      </c>
      <c r="H47" s="300">
        <f>'negyedéves P&amp;L_mérleg'!H47/$N$38*1000</f>
        <v>13730.482946361872</v>
      </c>
      <c r="I47" s="301">
        <f>'negyedéves P&amp;L_mérleg'!I47/$N$38*1000</f>
        <v>12827.52226505304</v>
      </c>
      <c r="J47" s="300">
        <f>'negyedéves P&amp;L_mérleg'!J47/$N$38*1000</f>
        <v>17641.136692066339</v>
      </c>
      <c r="K47" s="301">
        <f>'negyedéves P&amp;L_mérleg'!K47/$N$38*1000</f>
        <v>25650.373945913645</v>
      </c>
      <c r="L47" s="300">
        <f>'negyedéves P&amp;L_mérleg'!L47/$N$38*1000</f>
        <v>23624.309654863293</v>
      </c>
      <c r="M47" s="301">
        <f>'negyedéves P&amp;L_mérleg'!M47/$N$38*1000</f>
        <v>20992.770150903933</v>
      </c>
      <c r="N47" s="300">
        <f>'negyedéves P&amp;L_mérleg'!N47/N$38*1000</f>
        <v>28381.891528462576</v>
      </c>
      <c r="O47" s="301">
        <f>'negyedéves P&amp;L_mérleg'!O47/O$38*1000</f>
        <v>31665.254750090768</v>
      </c>
      <c r="P47" s="300">
        <f>'negyedéves P&amp;L_mérleg'!P47/P$38*1000</f>
        <v>31251.21835751483</v>
      </c>
      <c r="Q47" s="301">
        <f>'negyedéves P&amp;L_mérleg'!Q47/Q$38*1000</f>
        <v>23100.653448130804</v>
      </c>
      <c r="R47" s="300">
        <f>'negyedéves P&amp;L_mérleg'!R47/R$38*1000</f>
        <v>17866.447278211985</v>
      </c>
      <c r="S47" s="301">
        <f>'negyedéves P&amp;L_mérleg'!S47/S$38*1000</f>
        <v>23089.858406594911</v>
      </c>
      <c r="T47" s="300">
        <f>'negyedéves P&amp;L_mérleg'!T47/T$38*1000</f>
        <v>22344.695240975449</v>
      </c>
      <c r="U47" s="301">
        <f>'negyedéves P&amp;L_mérleg'!U47/U$38*1000</f>
        <v>29909.065075305487</v>
      </c>
      <c r="V47" s="300">
        <f>'negyedéves P&amp;L_mérleg'!V47/V$38*1000</f>
        <v>41898.088871629872</v>
      </c>
      <c r="W47" s="301">
        <f>'negyedéves P&amp;L_mérleg'!W47/W$38*1000</f>
        <v>46776.376693766942</v>
      </c>
      <c r="X47" s="300">
        <f>'negyedéves P&amp;L_mérleg'!X47/X$38*1000</f>
        <v>44791.488555814081</v>
      </c>
      <c r="Y47" s="301">
        <f>'negyedéves P&amp;L_mérleg'!Y47/Y$38*1000</f>
        <v>30018.903591682421</v>
      </c>
      <c r="Z47" s="300">
        <f>'negyedéves P&amp;L_mérleg'!Z47/Z$38*1000</f>
        <v>61283.576564390969</v>
      </c>
      <c r="AA47" s="301">
        <f>'negyedéves P&amp;L_mérleg'!AA47/AA$38*1000</f>
        <v>116466.95815115554</v>
      </c>
      <c r="AB47" s="300">
        <f>'negyedéves P&amp;L_mérleg'!AB47/AB$38*1000</f>
        <v>76340.134911677465</v>
      </c>
      <c r="AC47" s="301">
        <f>'negyedéves P&amp;L_mérleg'!AC47/AC$38*1000</f>
        <v>52051.841672729235</v>
      </c>
      <c r="AD47" s="300">
        <f>'negyedéves P&amp;L_mérleg'!AD47/AD$38*1000</f>
        <v>47855.800638977635</v>
      </c>
      <c r="AE47" s="301">
        <f>'negyedéves P&amp;L_mérleg'!AE47/AE$38*1000</f>
        <v>76989.393385234347</v>
      </c>
      <c r="AF47" s="300">
        <f>'negyedéves P&amp;L_mérleg'!AF47/AF$38*1000</f>
        <v>66231.667635095873</v>
      </c>
      <c r="AG47" s="301">
        <f>'negyedéves P&amp;L_mérleg'!AG47/AG$38*1000</f>
        <v>53730.530178413261</v>
      </c>
      <c r="AH47" s="300">
        <f>'negyedéves P&amp;L_mérleg'!AH47/AH$38*1000</f>
        <v>55619.056243082799</v>
      </c>
      <c r="AI47" s="301">
        <f>'negyedéves P&amp;L_mérleg'!AI47/AI$38*1000</f>
        <v>74895.754590455748</v>
      </c>
    </row>
    <row r="48" spans="2:35" outlineLevel="2" x14ac:dyDescent="0.3">
      <c r="B48" s="292" t="s">
        <v>305</v>
      </c>
      <c r="C48" s="293" t="s">
        <v>306</v>
      </c>
      <c r="D48" s="281">
        <f>'negyedéves P&amp;L_mérleg'!D48/$N$38*1000</f>
        <v>0</v>
      </c>
      <c r="E48" s="282">
        <f>'negyedéves P&amp;L_mérleg'!E48/$N$38*1000</f>
        <v>0</v>
      </c>
      <c r="F48" s="281">
        <f>'negyedéves P&amp;L_mérleg'!F48/$N$38*1000</f>
        <v>0</v>
      </c>
      <c r="G48" s="282">
        <f>'negyedéves P&amp;L_mérleg'!G48/$N$38*1000</f>
        <v>0</v>
      </c>
      <c r="H48" s="281">
        <f>'negyedéves P&amp;L_mérleg'!H48/$N$38*1000</f>
        <v>0</v>
      </c>
      <c r="I48" s="282">
        <f>'negyedéves P&amp;L_mérleg'!I48/$N$38*1000</f>
        <v>0</v>
      </c>
      <c r="J48" s="281">
        <f>'negyedéves P&amp;L_mérleg'!J48/$N$38*1000</f>
        <v>0</v>
      </c>
      <c r="K48" s="282">
        <f>'negyedéves P&amp;L_mérleg'!K48/$N$38*1000</f>
        <v>0</v>
      </c>
      <c r="L48" s="281">
        <f>'negyedéves P&amp;L_mérleg'!L48/$N$38*1000</f>
        <v>0</v>
      </c>
      <c r="M48" s="282">
        <f>'negyedéves P&amp;L_mérleg'!M48/$N$38*1000</f>
        <v>0</v>
      </c>
      <c r="N48" s="281">
        <f>'negyedéves P&amp;L_mérleg'!N48/N$38*1000</f>
        <v>0</v>
      </c>
      <c r="O48" s="282">
        <f>'negyedéves P&amp;L_mérleg'!O48/O$38*1000</f>
        <v>0</v>
      </c>
      <c r="P48" s="281">
        <f>'negyedéves P&amp;L_mérleg'!P48/P$38*1000</f>
        <v>0</v>
      </c>
      <c r="Q48" s="282">
        <f>'negyedéves P&amp;L_mérleg'!Q48/Q$38*1000</f>
        <v>0</v>
      </c>
      <c r="R48" s="281">
        <f>'negyedéves P&amp;L_mérleg'!R48/R$38*1000</f>
        <v>0</v>
      </c>
      <c r="S48" s="282">
        <f>'negyedéves P&amp;L_mérleg'!S48/S$38*1000</f>
        <v>0</v>
      </c>
      <c r="T48" s="281">
        <f>'negyedéves P&amp;L_mérleg'!T48/T$38*1000</f>
        <v>0</v>
      </c>
      <c r="U48" s="282">
        <f>'negyedéves P&amp;L_mérleg'!U48/U$38*1000</f>
        <v>0</v>
      </c>
      <c r="V48" s="281">
        <f>'negyedéves P&amp;L_mérleg'!V48/V$38*1000</f>
        <v>0</v>
      </c>
      <c r="W48" s="282">
        <f>'negyedéves P&amp;L_mérleg'!W48/W$38*1000</f>
        <v>0</v>
      </c>
      <c r="X48" s="281">
        <f>'negyedéves P&amp;L_mérleg'!X48/X$38*1000</f>
        <v>0</v>
      </c>
      <c r="Y48" s="282">
        <f>'negyedéves P&amp;L_mérleg'!Y48/Y$38*1000</f>
        <v>0</v>
      </c>
      <c r="Z48" s="281">
        <f>'negyedéves P&amp;L_mérleg'!Z48/Z$38*1000</f>
        <v>0</v>
      </c>
      <c r="AA48" s="282">
        <f>'negyedéves P&amp;L_mérleg'!AA48/AA$38*1000</f>
        <v>809.89349656464697</v>
      </c>
      <c r="AB48" s="281">
        <f>'negyedéves P&amp;L_mérleg'!AB48/AB$38*1000</f>
        <v>2197.5140292396127</v>
      </c>
      <c r="AC48" s="282">
        <f>'negyedéves P&amp;L_mérleg'!AC48/AC$38*1000</f>
        <v>4815.0243849863928</v>
      </c>
      <c r="AD48" s="290">
        <f>'negyedéves P&amp;L_mérleg'!AD48/AD$38*1000</f>
        <v>3145.1552869009588</v>
      </c>
      <c r="AE48" s="282">
        <f>'negyedéves P&amp;L_mérleg'!AE48/AE$38*1000</f>
        <v>8532.3162129682842</v>
      </c>
      <c r="AF48" s="290">
        <f>'negyedéves P&amp;L_mérleg'!AF48/AF$38*1000</f>
        <v>4939.7871182073113</v>
      </c>
      <c r="AG48" s="282">
        <f>'negyedéves P&amp;L_mérleg'!AG48/AG$38*1000</f>
        <v>0</v>
      </c>
      <c r="AH48" s="290">
        <f>'negyedéves P&amp;L_mérleg'!AH48/AH$38*1000</f>
        <v>0</v>
      </c>
      <c r="AI48" s="282">
        <f>'negyedéves P&amp;L_mérleg'!AI48/AI$38*1000</f>
        <v>0</v>
      </c>
    </row>
    <row r="49" spans="2:35" s="141" customFormat="1" outlineLevel="2" x14ac:dyDescent="0.3">
      <c r="B49" s="292" t="s">
        <v>206</v>
      </c>
      <c r="C49" s="293" t="s">
        <v>207</v>
      </c>
      <c r="D49" s="290">
        <f>'negyedéves P&amp;L_mérleg'!D49/$N$38*1000</f>
        <v>0</v>
      </c>
      <c r="E49" s="294">
        <f>'negyedéves P&amp;L_mérleg'!E49/$N$38*1000</f>
        <v>0</v>
      </c>
      <c r="F49" s="290">
        <f>'negyedéves P&amp;L_mérleg'!F49/$N$38*1000</f>
        <v>0</v>
      </c>
      <c r="G49" s="294">
        <f>'negyedéves P&amp;L_mérleg'!G49/$N$38*1000</f>
        <v>0</v>
      </c>
      <c r="H49" s="290">
        <f>'negyedéves P&amp;L_mérleg'!H49/$N$38*1000</f>
        <v>0</v>
      </c>
      <c r="I49" s="294">
        <f>'negyedéves P&amp;L_mérleg'!I49/$N$38*1000</f>
        <v>0</v>
      </c>
      <c r="J49" s="290">
        <f>'negyedéves P&amp;L_mérleg'!J49/$N$38*1000</f>
        <v>0</v>
      </c>
      <c r="K49" s="294">
        <f>'negyedéves P&amp;L_mérleg'!K49/$N$38*1000</f>
        <v>4772.1500074704918</v>
      </c>
      <c r="L49" s="290">
        <f>'negyedéves P&amp;L_mérleg'!L49/$N$38*1000</f>
        <v>4715.3742716270735</v>
      </c>
      <c r="M49" s="294">
        <f>'negyedéves P&amp;L_mérleg'!M49/$N$38*1000</f>
        <v>5304.0490064246233</v>
      </c>
      <c r="N49" s="290">
        <f>'negyedéves P&amp;L_mérleg'!N49/N$38*1000</f>
        <v>11513.521589720604</v>
      </c>
      <c r="O49" s="306">
        <f>'negyedéves P&amp;L_mérleg'!O49/O$38*1000</f>
        <v>9109.8874500786642</v>
      </c>
      <c r="P49" s="290">
        <f>'negyedéves P&amp;L_mérleg'!P49/P$38*1000</f>
        <v>7396.4744214542316</v>
      </c>
      <c r="Q49" s="306">
        <f>'negyedéves P&amp;L_mérleg'!Q49/Q$38*1000</f>
        <v>8026.474465041927</v>
      </c>
      <c r="R49" s="290">
        <f>'negyedéves P&amp;L_mérleg'!R49/R$38*1000</f>
        <v>1195.6670780200193</v>
      </c>
      <c r="S49" s="306">
        <f>'negyedéves P&amp;L_mérleg'!S49/S$38*1000</f>
        <v>2970.4625749732973</v>
      </c>
      <c r="T49" s="290">
        <f>'negyedéves P&amp;L_mérleg'!T49/T$38*1000</f>
        <v>3025.2962362191734</v>
      </c>
      <c r="U49" s="306">
        <f>'negyedéves P&amp;L_mérleg'!U49/U$38*1000</f>
        <v>9710.144927536232</v>
      </c>
      <c r="V49" s="290">
        <f>'negyedéves P&amp;L_mérleg'!V49/V$38*1000</f>
        <v>11235.213025629646</v>
      </c>
      <c r="W49" s="306">
        <f>'negyedéves P&amp;L_mérleg'!W49/W$38*1000</f>
        <v>8047.8590785907863</v>
      </c>
      <c r="X49" s="290">
        <f>'negyedéves P&amp;L_mérleg'!X49/X$38*1000</f>
        <v>6337.9335533791455</v>
      </c>
      <c r="Y49" s="306">
        <f>'negyedéves P&amp;L_mérleg'!Y49/Y$38*1000</f>
        <v>1724.0075614366731</v>
      </c>
      <c r="Z49" s="290">
        <f>'negyedéves P&amp;L_mérleg'!Z49/Z$38*1000</f>
        <v>1648.4611186255665</v>
      </c>
      <c r="AA49" s="306">
        <f>'negyedéves P&amp;L_mérleg'!AA49/AA$38*1000</f>
        <v>18931.497813866332</v>
      </c>
      <c r="AB49" s="290">
        <f>'negyedéves P&amp;L_mérleg'!AB49/AB$38*1000</f>
        <v>6379.209428068978</v>
      </c>
      <c r="AC49" s="306">
        <f>'negyedéves P&amp;L_mérleg'!AC49/AC$38*1000</f>
        <v>4947.0535930805918</v>
      </c>
      <c r="AD49" s="290">
        <f>'negyedéves P&amp;L_mérleg'!AD49/AD$38*1000</f>
        <v>5500.3143769968046</v>
      </c>
      <c r="AE49" s="306">
        <f>'negyedéves P&amp;L_mérleg'!AE49/AE$38*1000</f>
        <v>5836.250587805006</v>
      </c>
      <c r="AF49" s="290">
        <f>'negyedéves P&amp;L_mérleg'!AF49/AF$38*1000</f>
        <v>5605.552888866433</v>
      </c>
      <c r="AG49" s="306">
        <f>'negyedéves P&amp;L_mérleg'!AG49/AG$38*1000</f>
        <v>5574.6729090218905</v>
      </c>
      <c r="AH49" s="290">
        <f>'negyedéves P&amp;L_mérleg'!AH49/AH$38*1000</f>
        <v>4788.7614448133609</v>
      </c>
      <c r="AI49" s="306">
        <f>'negyedéves P&amp;L_mérleg'!AI49/AI$38*1000</f>
        <v>3533.3707234997196</v>
      </c>
    </row>
    <row r="50" spans="2:35" s="141" customFormat="1" outlineLevel="2" x14ac:dyDescent="0.3">
      <c r="B50" s="292" t="s">
        <v>335</v>
      </c>
      <c r="C50" s="293" t="s">
        <v>337</v>
      </c>
      <c r="D50" s="290">
        <f>'negyedéves P&amp;L_mérleg'!D50/$N$38*1000</f>
        <v>0</v>
      </c>
      <c r="E50" s="294">
        <f>'negyedéves P&amp;L_mérleg'!E50/$N$38*1000</f>
        <v>0</v>
      </c>
      <c r="F50" s="290">
        <f>'negyedéves P&amp;L_mérleg'!F50/$N$38*1000</f>
        <v>0</v>
      </c>
      <c r="G50" s="294">
        <f>'negyedéves P&amp;L_mérleg'!G50/$N$38*1000</f>
        <v>0</v>
      </c>
      <c r="H50" s="290">
        <f>'negyedéves P&amp;L_mérleg'!H50/$N$38*1000</f>
        <v>0</v>
      </c>
      <c r="I50" s="294">
        <f>'negyedéves P&amp;L_mérleg'!I50/$N$38*1000</f>
        <v>0</v>
      </c>
      <c r="J50" s="290">
        <f>'negyedéves P&amp;L_mérleg'!J50/$N$38*1000</f>
        <v>0</v>
      </c>
      <c r="K50" s="294">
        <f>'negyedéves P&amp;L_mérleg'!K50/$N$38*1000</f>
        <v>0</v>
      </c>
      <c r="L50" s="290">
        <f>'negyedéves P&amp;L_mérleg'!L50/$N$38*1000</f>
        <v>0</v>
      </c>
      <c r="M50" s="294">
        <f>'negyedéves P&amp;L_mérleg'!M50/$N$38*1000</f>
        <v>0</v>
      </c>
      <c r="N50" s="290">
        <f>'negyedéves P&amp;L_mérleg'!N50/N$38*1000</f>
        <v>0</v>
      </c>
      <c r="O50" s="306">
        <f>'negyedéves P&amp;L_mérleg'!O50/O$38*1000</f>
        <v>0</v>
      </c>
      <c r="P50" s="290">
        <f>'negyedéves P&amp;L_mérleg'!P50/P$38*1000</f>
        <v>0</v>
      </c>
      <c r="Q50" s="306">
        <f>'negyedéves P&amp;L_mérleg'!Q50/Q$38*1000</f>
        <v>0</v>
      </c>
      <c r="R50" s="290">
        <f>'negyedéves P&amp;L_mérleg'!R50/R$38*1000</f>
        <v>0</v>
      </c>
      <c r="S50" s="306">
        <f>'negyedéves P&amp;L_mérleg'!S50/S$38*1000</f>
        <v>0</v>
      </c>
      <c r="T50" s="290">
        <f>'negyedéves P&amp;L_mérleg'!T50/T$38*1000</f>
        <v>0</v>
      </c>
      <c r="U50" s="306">
        <f>'negyedéves P&amp;L_mérleg'!U50/U$38*1000</f>
        <v>0</v>
      </c>
      <c r="V50" s="290">
        <f>'negyedéves P&amp;L_mérleg'!V50/V$38*1000</f>
        <v>0</v>
      </c>
      <c r="W50" s="306">
        <f>'negyedéves P&amp;L_mérleg'!W50/W$38*1000</f>
        <v>0</v>
      </c>
      <c r="X50" s="290">
        <f>'negyedéves P&amp;L_mérleg'!X50/X$38*1000</f>
        <v>0</v>
      </c>
      <c r="Y50" s="306">
        <f>'negyedéves P&amp;L_mérleg'!Y50/Y$38*1000</f>
        <v>0</v>
      </c>
      <c r="Z50" s="290">
        <f>'negyedéves P&amp;L_mérleg'!Z50/Z$38*1000</f>
        <v>0</v>
      </c>
      <c r="AA50" s="306">
        <f>'negyedéves P&amp;L_mérleg'!AA50/AA$38*1000</f>
        <v>68133.908944409734</v>
      </c>
      <c r="AB50" s="290">
        <f>'negyedéves P&amp;L_mérleg'!AB50/AB$38*1000</f>
        <v>0</v>
      </c>
      <c r="AC50" s="306">
        <f>'negyedéves P&amp;L_mérleg'!AC50/AC$38*1000</f>
        <v>23490.421146229084</v>
      </c>
      <c r="AD50" s="290">
        <f>'negyedéves P&amp;L_mérleg'!AD50/AD$38*1000</f>
        <v>22942.172132907344</v>
      </c>
      <c r="AE50" s="306">
        <f>'negyedéves P&amp;L_mérleg'!AE50/AE$38*1000</f>
        <v>42063.326192591048</v>
      </c>
      <c r="AF50" s="290">
        <f>'negyedéves P&amp;L_mérleg'!AF50/AF$38*1000</f>
        <v>40264.665128969507</v>
      </c>
      <c r="AG50" s="306">
        <f>'negyedéves P&amp;L_mérleg'!AG50/AG$38*1000</f>
        <v>31441.548647349104</v>
      </c>
      <c r="AH50" s="290">
        <f>'negyedéves P&amp;L_mérleg'!AH50/AH$38*1000</f>
        <v>33383.527138042053</v>
      </c>
      <c r="AI50" s="306">
        <f>'negyedéves P&amp;L_mérleg'!AI50/AI$38*1000</f>
        <v>63117.852178790024</v>
      </c>
    </row>
    <row r="51" spans="2:35" s="141" customFormat="1" ht="15" outlineLevel="2" thickBot="1" x14ac:dyDescent="0.35">
      <c r="B51" s="295" t="s">
        <v>336</v>
      </c>
      <c r="C51" s="296" t="s">
        <v>338</v>
      </c>
      <c r="D51" s="307">
        <f>'negyedéves P&amp;L_mérleg'!D51/$N$38*1000</f>
        <v>0</v>
      </c>
      <c r="E51" s="308">
        <f>'negyedéves P&amp;L_mérleg'!E51/$N$38*1000</f>
        <v>0</v>
      </c>
      <c r="F51" s="307">
        <f>'negyedéves P&amp;L_mérleg'!F51/$N$38*1000</f>
        <v>0</v>
      </c>
      <c r="G51" s="308">
        <f>'negyedéves P&amp;L_mérleg'!G51/$N$38*1000</f>
        <v>0</v>
      </c>
      <c r="H51" s="307">
        <f>'negyedéves P&amp;L_mérleg'!H51/$N$38*1000</f>
        <v>0</v>
      </c>
      <c r="I51" s="308">
        <f>'negyedéves P&amp;L_mérleg'!I51/$N$38*1000</f>
        <v>0</v>
      </c>
      <c r="J51" s="307">
        <f>'negyedéves P&amp;L_mérleg'!J51/$N$38*1000</f>
        <v>0</v>
      </c>
      <c r="K51" s="308">
        <f>'negyedéves P&amp;L_mérleg'!K51/$N$38*1000</f>
        <v>0</v>
      </c>
      <c r="L51" s="307">
        <f>'negyedéves P&amp;L_mérleg'!L51/$N$38*1000</f>
        <v>0</v>
      </c>
      <c r="M51" s="308">
        <f>'negyedéves P&amp;L_mérleg'!M51/$N$38*1000</f>
        <v>0</v>
      </c>
      <c r="N51" s="307">
        <f>'negyedéves P&amp;L_mérleg'!N51/N$38*1000</f>
        <v>0</v>
      </c>
      <c r="O51" s="298">
        <f>'negyedéves P&amp;L_mérleg'!O51/O$38*1000</f>
        <v>0</v>
      </c>
      <c r="P51" s="307">
        <f>'negyedéves P&amp;L_mérleg'!P51/P$38*1000</f>
        <v>0</v>
      </c>
      <c r="Q51" s="298">
        <f>'negyedéves P&amp;L_mérleg'!Q51/Q$38*1000</f>
        <v>0</v>
      </c>
      <c r="R51" s="307">
        <f>'negyedéves P&amp;L_mérleg'!R51/R$38*1000</f>
        <v>0</v>
      </c>
      <c r="S51" s="298">
        <f>'negyedéves P&amp;L_mérleg'!S51/S$38*1000</f>
        <v>0</v>
      </c>
      <c r="T51" s="307">
        <f>'negyedéves P&amp;L_mérleg'!T51/T$38*1000</f>
        <v>0</v>
      </c>
      <c r="U51" s="298">
        <f>'negyedéves P&amp;L_mérleg'!U51/U$38*1000</f>
        <v>0</v>
      </c>
      <c r="V51" s="307">
        <f>'negyedéves P&amp;L_mérleg'!V51/V$38*1000</f>
        <v>0</v>
      </c>
      <c r="W51" s="298">
        <f>'negyedéves P&amp;L_mérleg'!W51/W$38*1000</f>
        <v>0</v>
      </c>
      <c r="X51" s="307">
        <f>'negyedéves P&amp;L_mérleg'!X51/X$38*1000</f>
        <v>0</v>
      </c>
      <c r="Y51" s="298">
        <f>'negyedéves P&amp;L_mérleg'!Y51/Y$38*1000</f>
        <v>0</v>
      </c>
      <c r="Z51" s="307">
        <f>'negyedéves P&amp;L_mérleg'!Z51/Z$38*1000</f>
        <v>0</v>
      </c>
      <c r="AA51" s="298">
        <f>'negyedéves P&amp;L_mérleg'!AA51/AA$38*1000</f>
        <v>28591.657896314813</v>
      </c>
      <c r="AB51" s="307">
        <f>'negyedéves P&amp;L_mérleg'!AB51/AB$38*1000</f>
        <v>0</v>
      </c>
      <c r="AC51" s="298">
        <f>'negyedéves P&amp;L_mérleg'!AC51/AC$38*1000</f>
        <v>18799.342548433164</v>
      </c>
      <c r="AD51" s="290">
        <f>'negyedéves P&amp;L_mérleg'!AD51/AD$38*1000</f>
        <v>16268.158842172525</v>
      </c>
      <c r="AE51" s="298">
        <f>'negyedéves P&amp;L_mérleg'!AE51/AE$38*1000</f>
        <v>20557.500391870006</v>
      </c>
      <c r="AF51" s="290">
        <f>'negyedéves P&amp;L_mérleg'!AF51/AF$38*1000</f>
        <v>15421.662499052625</v>
      </c>
      <c r="AG51" s="298">
        <f>'negyedéves P&amp;L_mérleg'!AG51/AG$38*1000</f>
        <v>16714.308622042263</v>
      </c>
      <c r="AH51" s="290">
        <f>'negyedéves P&amp;L_mérleg'!AH51/AH$38*1000</f>
        <v>17446.767660227386</v>
      </c>
      <c r="AI51" s="298">
        <f>'negyedéves P&amp;L_mérleg'!AI51/AI$38*1000</f>
        <v>8244.5316881660128</v>
      </c>
    </row>
    <row r="52" spans="2:35" ht="30" outlineLevel="2" thickTop="1" thickBot="1" x14ac:dyDescent="0.35">
      <c r="B52" s="65" t="s">
        <v>90</v>
      </c>
      <c r="C52" s="65" t="s">
        <v>91</v>
      </c>
      <c r="D52" s="85">
        <f>'negyedéves P&amp;L_mérleg'!D52/$N$38*1000</f>
        <v>46528.726630808313</v>
      </c>
      <c r="E52" s="93">
        <f>'negyedéves P&amp;L_mérleg'!E52/$N$38*1000</f>
        <v>44284.607515314514</v>
      </c>
      <c r="F52" s="85">
        <f>'negyedéves P&amp;L_mérleg'!F52/$N$38*1000</f>
        <v>44094.219746003284</v>
      </c>
      <c r="G52" s="93">
        <f>'negyedéves P&amp;L_mérleg'!G52/$N$38*1000</f>
        <v>49589.115180038847</v>
      </c>
      <c r="H52" s="85">
        <f>'negyedéves P&amp;L_mérleg'!H52/$N$38*1000</f>
        <v>50480.902590766476</v>
      </c>
      <c r="I52" s="93">
        <f>'negyedéves P&amp;L_mérleg'!I52/$N$38*1000</f>
        <v>47593.073697893327</v>
      </c>
      <c r="J52" s="85">
        <f>'negyedéves P&amp;L_mérleg'!J52/$N$38*1000</f>
        <v>58742.304822949358</v>
      </c>
      <c r="K52" s="93">
        <f>'negyedéves P&amp;L_mérleg'!K52/$N$38*1000</f>
        <v>68307.47976692066</v>
      </c>
      <c r="L52" s="85">
        <f>'negyedéves P&amp;L_mérleg'!L52/$N$38*1000</f>
        <v>77052.443125653677</v>
      </c>
      <c r="M52" s="93">
        <f>'negyedéves P&amp;L_mérleg'!M52/$N$38*1000</f>
        <v>99242.383224264195</v>
      </c>
      <c r="N52" s="85">
        <f>'negyedéves P&amp;L_mérleg'!N52/N$38*1000</f>
        <v>99145.375765725388</v>
      </c>
      <c r="O52" s="93">
        <f>'negyedéves P&amp;L_mérleg'!O52/O$38*1000</f>
        <v>113990.07624349512</v>
      </c>
      <c r="P52" s="85">
        <f>'negyedéves P&amp;L_mérleg'!P52/P$38*1000</f>
        <v>110295.46910245344</v>
      </c>
      <c r="Q52" s="93">
        <f>'negyedéves P&amp;L_mérleg'!Q52/Q$38*1000</f>
        <v>106116.61104411476</v>
      </c>
      <c r="R52" s="85">
        <f>'negyedéves P&amp;L_mérleg'!R52/R$38*1000</f>
        <v>101979.98080351022</v>
      </c>
      <c r="S52" s="93">
        <f>'negyedéves P&amp;L_mérleg'!S52/S$38*1000</f>
        <v>122926.87535946102</v>
      </c>
      <c r="T52" s="85">
        <f>'negyedéves P&amp;L_mérleg'!T52/T$38*1000</f>
        <v>124358.72762763588</v>
      </c>
      <c r="U52" s="93">
        <f>'negyedéves P&amp;L_mérleg'!U52/U$38*1000</f>
        <v>139514.06649616366</v>
      </c>
      <c r="V52" s="85">
        <f>'negyedéves P&amp;L_mérleg'!V52/V$38*1000</f>
        <v>177837.74825252415</v>
      </c>
      <c r="W52" s="93">
        <f>'negyedéves P&amp;L_mérleg'!W52/W$38*1000</f>
        <v>164663.27371273714</v>
      </c>
      <c r="X52" s="85">
        <f>'negyedéves P&amp;L_mérleg'!X52/X$38*1000</f>
        <v>179029.34365023539</v>
      </c>
      <c r="Y52" s="93">
        <f>'negyedéves P&amp;L_mérleg'!Y52/Y$38*1000</f>
        <v>166946.43982356647</v>
      </c>
      <c r="Z52" s="85">
        <f>'negyedéves P&amp;L_mérleg'!Z52/Z$38*1000</f>
        <v>205946.88308298332</v>
      </c>
      <c r="AA52" s="93">
        <f>'negyedéves P&amp;L_mérleg'!AA52/AA$38*1000</f>
        <v>249894.80074953157</v>
      </c>
      <c r="AB52" s="85">
        <f>'negyedéves P&amp;L_mérleg'!AB52/AB$38*1000</f>
        <v>235721.1396624583</v>
      </c>
      <c r="AC52" s="93">
        <f>'negyedéves P&amp;L_mérleg'!AC52/AC$38*1000</f>
        <v>223975.42640045268</v>
      </c>
      <c r="AD52" s="85">
        <f>'negyedéves P&amp;L_mérleg'!AD52/AD$38*1000</f>
        <v>217431.49648562301</v>
      </c>
      <c r="AE52" s="93">
        <f>'negyedéves P&amp;L_mérleg'!AE52/AE$38*1000</f>
        <v>240289.46130936834</v>
      </c>
      <c r="AF52" s="85">
        <f>'negyedéves P&amp;L_mérleg'!AF52/AF$38*1000</f>
        <v>232277.57623222092</v>
      </c>
      <c r="AG52" s="93">
        <f>'negyedéves P&amp;L_mérleg'!AG52/AG$38*1000</f>
        <v>209242.070099962</v>
      </c>
      <c r="AH52" s="85">
        <f>'negyedéves P&amp;L_mérleg'!AH52/AH$38*1000</f>
        <v>218219.88127578225</v>
      </c>
      <c r="AI52" s="93">
        <f>'negyedéves P&amp;L_mérleg'!AI52/AI$38*1000</f>
        <v>239127.99629349654</v>
      </c>
    </row>
    <row r="53" spans="2:35" s="56" customFormat="1" ht="15" outlineLevel="1" thickTop="1" x14ac:dyDescent="0.3">
      <c r="D53"/>
      <c r="E53" s="72"/>
      <c r="F53" s="72"/>
      <c r="G53"/>
      <c r="H53"/>
      <c r="I53"/>
      <c r="J53"/>
      <c r="K53"/>
      <c r="L53"/>
      <c r="M53"/>
      <c r="N53" s="153"/>
      <c r="O53"/>
    </row>
    <row r="54" spans="2:35" outlineLevel="1" x14ac:dyDescent="0.3"/>
  </sheetData>
  <mergeCells count="2">
    <mergeCell ref="D1:R1"/>
    <mergeCell ref="D37:E3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D178-045D-4C96-B691-6F850929037D}">
  <sheetPr codeName="Munka5"/>
  <dimension ref="A1:V176"/>
  <sheetViews>
    <sheetView showGridLines="0" topLeftCell="A10" zoomScale="70" zoomScaleNormal="70" workbookViewId="0">
      <selection activeCell="V20" activeCellId="5" sqref="V117 V100 V80 V60 V40 V20"/>
    </sheetView>
  </sheetViews>
  <sheetFormatPr defaultColWidth="8.77734375" defaultRowHeight="14.4" outlineLevelRow="1" outlineLevelCol="1" x14ac:dyDescent="0.3"/>
  <cols>
    <col min="2" max="2" width="47.6640625" customWidth="1"/>
    <col min="3" max="3" width="25.6640625" customWidth="1" outlineLevel="1"/>
    <col min="4" max="6" width="10.77734375" customWidth="1" outlineLevel="1"/>
    <col min="7" max="20" width="10.77734375" customWidth="1"/>
    <col min="21" max="21" width="12" customWidth="1"/>
  </cols>
  <sheetData>
    <row r="1" spans="1:22" ht="15" thickBot="1" x14ac:dyDescent="0.35">
      <c r="A1" s="327"/>
      <c r="B1" s="327"/>
      <c r="D1" s="242"/>
      <c r="E1" s="242"/>
      <c r="F1" s="242"/>
      <c r="G1" s="242"/>
      <c r="H1" s="242"/>
      <c r="I1" s="242"/>
      <c r="J1" s="242"/>
    </row>
    <row r="2" spans="1:22" ht="43.2" x14ac:dyDescent="0.3">
      <c r="B2" s="247" t="s">
        <v>317</v>
      </c>
      <c r="C2" s="248" t="s">
        <v>318</v>
      </c>
      <c r="D2" s="235">
        <v>2016</v>
      </c>
      <c r="E2" s="235">
        <v>2017</v>
      </c>
      <c r="F2" s="235">
        <v>2018</v>
      </c>
      <c r="G2" s="235">
        <v>2019</v>
      </c>
      <c r="H2" s="324">
        <v>2020</v>
      </c>
      <c r="I2" s="324">
        <v>2021</v>
      </c>
      <c r="J2" s="235">
        <v>2022</v>
      </c>
      <c r="K2" s="235">
        <v>2023</v>
      </c>
      <c r="L2" s="236">
        <v>2024</v>
      </c>
    </row>
    <row r="3" spans="1:22" x14ac:dyDescent="0.3">
      <c r="B3" s="238" t="s">
        <v>149</v>
      </c>
      <c r="C3" s="233" t="s">
        <v>294</v>
      </c>
      <c r="D3" s="311">
        <v>8291.0161179999996</v>
      </c>
      <c r="E3" s="311">
        <v>9557.5337209999998</v>
      </c>
      <c r="F3" s="312">
        <v>10230.590999999999</v>
      </c>
      <c r="G3" s="312">
        <v>11699.307999999999</v>
      </c>
      <c r="H3" s="312">
        <v>14179.346353000001</v>
      </c>
      <c r="I3" s="312">
        <v>24284.974919</v>
      </c>
      <c r="J3" s="312">
        <v>80897.482948999997</v>
      </c>
      <c r="K3" s="312">
        <v>75521.246450000006</v>
      </c>
      <c r="L3" s="313">
        <v>62411.716688999993</v>
      </c>
    </row>
    <row r="4" spans="1:22" x14ac:dyDescent="0.3">
      <c r="B4" s="239" t="s">
        <v>278</v>
      </c>
      <c r="C4" s="309" t="s">
        <v>269</v>
      </c>
      <c r="D4" s="314"/>
      <c r="E4" s="314"/>
      <c r="F4" s="315"/>
      <c r="G4" s="315"/>
      <c r="H4" s="315"/>
      <c r="I4" s="315">
        <v>84.732989000000003</v>
      </c>
      <c r="J4" s="315">
        <v>141.38377700000001</v>
      </c>
      <c r="K4" s="315">
        <v>276.78482100000002</v>
      </c>
      <c r="L4" s="316">
        <v>273.01324399999999</v>
      </c>
    </row>
    <row r="5" spans="1:22" x14ac:dyDescent="0.3">
      <c r="B5" s="239" t="s">
        <v>129</v>
      </c>
      <c r="C5" s="309" t="s">
        <v>290</v>
      </c>
      <c r="D5" s="314"/>
      <c r="E5" s="314"/>
      <c r="F5" s="315">
        <v>-8697.0027009999994</v>
      </c>
      <c r="G5" s="315">
        <v>-9538.7446299999992</v>
      </c>
      <c r="H5" s="315">
        <v>-9965.8493450000005</v>
      </c>
      <c r="I5" s="315">
        <v>-12802.207106</v>
      </c>
      <c r="J5" s="315">
        <v>-56631.494699000003</v>
      </c>
      <c r="K5" s="315">
        <v>-50321.500331000003</v>
      </c>
      <c r="L5" s="316">
        <v>-39802.174717000002</v>
      </c>
    </row>
    <row r="6" spans="1:22" x14ac:dyDescent="0.3">
      <c r="B6" s="239" t="s">
        <v>105</v>
      </c>
      <c r="C6" s="309" t="s">
        <v>292</v>
      </c>
      <c r="D6" s="314"/>
      <c r="E6" s="314"/>
      <c r="F6" s="315">
        <v>-29.589324000000001</v>
      </c>
      <c r="G6" s="315">
        <v>-159.22743</v>
      </c>
      <c r="H6" s="315">
        <v>-268.81010700000002</v>
      </c>
      <c r="I6" s="315">
        <v>-880.22839399999998</v>
      </c>
      <c r="J6" s="315">
        <v>-1435.9353920000001</v>
      </c>
      <c r="K6" s="315">
        <v>-1694.3518939999999</v>
      </c>
      <c r="L6" s="316">
        <v>-2263.3094940000001</v>
      </c>
    </row>
    <row r="7" spans="1:22" ht="15" thickBot="1" x14ac:dyDescent="0.35">
      <c r="B7" s="239" t="s">
        <v>259</v>
      </c>
      <c r="C7" s="309" t="s">
        <v>291</v>
      </c>
      <c r="D7" s="314"/>
      <c r="E7" s="314"/>
      <c r="F7" s="315">
        <v>-426.18168900000001</v>
      </c>
      <c r="G7" s="315">
        <v>-752.26828499999999</v>
      </c>
      <c r="H7" s="315">
        <v>-1072.0747389999999</v>
      </c>
      <c r="I7" s="315">
        <v>-1645.710259</v>
      </c>
      <c r="J7" s="315">
        <v>-6446.7102480000003</v>
      </c>
      <c r="K7" s="315">
        <v>-8317.0788190000003</v>
      </c>
      <c r="L7" s="316">
        <v>-6312.7160640000002</v>
      </c>
    </row>
    <row r="8" spans="1:22" ht="15" thickTop="1" x14ac:dyDescent="0.3">
      <c r="B8" s="240" t="s">
        <v>101</v>
      </c>
      <c r="C8" s="232" t="s">
        <v>101</v>
      </c>
      <c r="D8" s="317">
        <v>1596.6812519999976</v>
      </c>
      <c r="E8" s="317">
        <v>1113.5337209999998</v>
      </c>
      <c r="F8" s="318">
        <v>1077.5909999999992</v>
      </c>
      <c r="G8" s="318">
        <v>1249.0677110000006</v>
      </c>
      <c r="H8" s="318">
        <v>2933.0253269999994</v>
      </c>
      <c r="I8" s="318">
        <v>9041.5621490000012</v>
      </c>
      <c r="J8" s="318">
        <v>16524.726386999992</v>
      </c>
      <c r="K8" s="318">
        <v>15465.100227000003</v>
      </c>
      <c r="L8" s="319">
        <v>14306.529657999992</v>
      </c>
    </row>
    <row r="9" spans="1:22" ht="15" thickBot="1" x14ac:dyDescent="0.35">
      <c r="B9" s="239" t="s">
        <v>285</v>
      </c>
      <c r="C9" s="325" t="s">
        <v>293</v>
      </c>
      <c r="D9" s="320"/>
      <c r="E9" s="320"/>
      <c r="F9" s="315"/>
      <c r="G9" s="315"/>
      <c r="H9" s="315"/>
      <c r="I9" s="315">
        <v>-473.5611962866908</v>
      </c>
      <c r="J9" s="315">
        <v>-795.66488926243937</v>
      </c>
      <c r="K9" s="315">
        <v>-910.83003570588346</v>
      </c>
      <c r="L9" s="316">
        <v>-1163.8400034019078</v>
      </c>
    </row>
    <row r="10" spans="1:22" ht="15.6" thickTop="1" thickBot="1" x14ac:dyDescent="0.35">
      <c r="B10" s="240" t="s">
        <v>286</v>
      </c>
      <c r="C10" s="326" t="s">
        <v>286</v>
      </c>
      <c r="D10" s="321"/>
      <c r="E10" s="321"/>
      <c r="F10" s="322"/>
      <c r="G10" s="322"/>
      <c r="H10" s="322"/>
      <c r="I10" s="322">
        <v>8568.0009527133097</v>
      </c>
      <c r="J10" s="322">
        <v>15729.061497737552</v>
      </c>
      <c r="K10" s="322">
        <v>14554.270191294119</v>
      </c>
      <c r="L10" s="323">
        <v>13142.689654598085</v>
      </c>
    </row>
    <row r="11" spans="1:22" ht="6" customHeight="1" thickBot="1" x14ac:dyDescent="0.35"/>
    <row r="12" spans="1:22" ht="43.2" x14ac:dyDescent="0.3">
      <c r="B12" s="247" t="s">
        <v>317</v>
      </c>
      <c r="C12" s="248" t="s">
        <v>318</v>
      </c>
      <c r="D12" s="235" t="s">
        <v>190</v>
      </c>
      <c r="E12" s="235" t="s">
        <v>192</v>
      </c>
      <c r="F12" s="235" t="s">
        <v>263</v>
      </c>
      <c r="G12" s="235" t="s">
        <v>284</v>
      </c>
      <c r="H12" s="235" t="s">
        <v>300</v>
      </c>
      <c r="I12" s="235" t="s">
        <v>301</v>
      </c>
      <c r="J12" s="235">
        <v>2021</v>
      </c>
      <c r="K12" s="235" t="s">
        <v>307</v>
      </c>
      <c r="L12" s="235" t="s">
        <v>308</v>
      </c>
      <c r="M12" s="235" t="s">
        <v>309</v>
      </c>
      <c r="N12" s="235">
        <v>2022</v>
      </c>
      <c r="O12" s="235" t="s">
        <v>321</v>
      </c>
      <c r="P12" s="235" t="s">
        <v>324</v>
      </c>
      <c r="Q12" s="235" t="s">
        <v>325</v>
      </c>
      <c r="R12" s="235">
        <v>2023</v>
      </c>
      <c r="S12" s="235" t="s">
        <v>344</v>
      </c>
      <c r="T12" s="235" t="s">
        <v>351</v>
      </c>
      <c r="U12" s="235" t="s">
        <v>353</v>
      </c>
      <c r="V12" s="236">
        <v>2024</v>
      </c>
    </row>
    <row r="13" spans="1:22" x14ac:dyDescent="0.3">
      <c r="B13" s="238" t="s">
        <v>149</v>
      </c>
      <c r="C13" s="233" t="s">
        <v>294</v>
      </c>
      <c r="D13" s="311">
        <v>4255.1733100000001</v>
      </c>
      <c r="E13" s="311">
        <v>7511.3717770000003</v>
      </c>
      <c r="F13" s="312">
        <v>10118.562577999999</v>
      </c>
      <c r="G13" s="312">
        <v>4419.3897889999998</v>
      </c>
      <c r="H13" s="312">
        <v>10294.671456</v>
      </c>
      <c r="I13" s="312">
        <v>15218.596933000001</v>
      </c>
      <c r="J13" s="312">
        <v>24284.974919</v>
      </c>
      <c r="K13" s="312">
        <v>12590.508185999999</v>
      </c>
      <c r="L13" s="312">
        <v>26289.994136000001</v>
      </c>
      <c r="M13" s="312">
        <v>46449.428678999997</v>
      </c>
      <c r="N13" s="312">
        <v>80897.482948999997</v>
      </c>
      <c r="O13" s="312">
        <v>29749.038410000001</v>
      </c>
      <c r="P13" s="312">
        <v>47566.680658999998</v>
      </c>
      <c r="Q13" s="312">
        <v>60391.421842000003</v>
      </c>
      <c r="R13" s="312">
        <v>75521.246450000006</v>
      </c>
      <c r="S13" s="312">
        <v>16031.199161</v>
      </c>
      <c r="T13" s="312">
        <v>29056.491236000002</v>
      </c>
      <c r="U13" s="312">
        <v>44404.027781999997</v>
      </c>
      <c r="V13" s="313">
        <v>62411.716688999993</v>
      </c>
    </row>
    <row r="14" spans="1:22" x14ac:dyDescent="0.3">
      <c r="B14" s="239" t="s">
        <v>278</v>
      </c>
      <c r="C14" s="309" t="s">
        <v>269</v>
      </c>
      <c r="D14" s="314">
        <v>17.608502999999999</v>
      </c>
      <c r="E14" s="314">
        <v>32.666156999999998</v>
      </c>
      <c r="F14" s="315">
        <v>66.133887999999999</v>
      </c>
      <c r="G14" s="315">
        <v>25.889605</v>
      </c>
      <c r="H14" s="315">
        <v>45.003377</v>
      </c>
      <c r="I14" s="315">
        <v>61.560088999999998</v>
      </c>
      <c r="J14" s="315">
        <v>84.732989000000003</v>
      </c>
      <c r="K14" s="315">
        <v>27.868701000000001</v>
      </c>
      <c r="L14" s="315">
        <v>59</v>
      </c>
      <c r="M14" s="315">
        <v>93.554832000000005</v>
      </c>
      <c r="N14" s="315">
        <v>141.38377700000001</v>
      </c>
      <c r="O14" s="315">
        <v>87.651176000000007</v>
      </c>
      <c r="P14" s="315">
        <v>181</v>
      </c>
      <c r="Q14" s="315">
        <v>268</v>
      </c>
      <c r="R14" s="315">
        <v>277</v>
      </c>
      <c r="S14" s="315">
        <v>58.597140000000003</v>
      </c>
      <c r="T14" s="315">
        <v>123.80110999999999</v>
      </c>
      <c r="U14" s="315">
        <v>206.134987</v>
      </c>
      <c r="V14" s="316">
        <v>273.01324399999999</v>
      </c>
    </row>
    <row r="15" spans="1:22" x14ac:dyDescent="0.3">
      <c r="B15" s="239" t="s">
        <v>129</v>
      </c>
      <c r="C15" s="309" t="s">
        <v>290</v>
      </c>
      <c r="D15" s="314">
        <v>-3065.2282369999998</v>
      </c>
      <c r="E15" s="314">
        <v>-4697.8855009999997</v>
      </c>
      <c r="F15" s="315">
        <v>-6297.3843939999997</v>
      </c>
      <c r="G15" s="315">
        <v>-2577.525208</v>
      </c>
      <c r="H15" s="315">
        <v>-4868.7558390000004</v>
      </c>
      <c r="I15" s="315">
        <v>-6974.9305830000003</v>
      </c>
      <c r="J15" s="315">
        <v>-12802.207106</v>
      </c>
      <c r="K15" s="315">
        <v>-8395.2074350000003</v>
      </c>
      <c r="L15" s="315">
        <v>-14866.159419</v>
      </c>
      <c r="M15" s="315">
        <v>-29828.164205000001</v>
      </c>
      <c r="N15" s="315">
        <v>-56631.494699000003</v>
      </c>
      <c r="O15" s="315">
        <v>-20584.461885000001</v>
      </c>
      <c r="P15" s="315">
        <v>-31804.998390000001</v>
      </c>
      <c r="Q15" s="315">
        <v>-40408.881243000003</v>
      </c>
      <c r="R15" s="315">
        <v>-50321.500331000003</v>
      </c>
      <c r="S15" s="315">
        <v>-10960.525882</v>
      </c>
      <c r="T15" s="315">
        <v>-17684.108444000001</v>
      </c>
      <c r="U15" s="315">
        <v>-27261.524707</v>
      </c>
      <c r="V15" s="316">
        <v>-39802.174717000002</v>
      </c>
    </row>
    <row r="16" spans="1:22" x14ac:dyDescent="0.3">
      <c r="B16" s="239" t="s">
        <v>105</v>
      </c>
      <c r="C16" s="309" t="s">
        <v>292</v>
      </c>
      <c r="D16" s="314">
        <v>-188.08090000000001</v>
      </c>
      <c r="E16" s="314">
        <v>-380.203868</v>
      </c>
      <c r="F16" s="315">
        <v>-591.83630600000004</v>
      </c>
      <c r="G16" s="315">
        <v>-180.146693</v>
      </c>
      <c r="H16" s="315">
        <v>-453.3895</v>
      </c>
      <c r="I16" s="315">
        <v>-638.472038</v>
      </c>
      <c r="J16" s="315">
        <v>-880.22839399999998</v>
      </c>
      <c r="K16" s="315">
        <v>-276.34044499999999</v>
      </c>
      <c r="L16" s="315">
        <v>-628.45949299999995</v>
      </c>
      <c r="M16" s="315">
        <v>-1050.4950570000001</v>
      </c>
      <c r="N16" s="315">
        <v>-1435.9353920000001</v>
      </c>
      <c r="O16" s="315">
        <v>-368.18668500000001</v>
      </c>
      <c r="P16" s="315">
        <v>-793.48301800000002</v>
      </c>
      <c r="Q16" s="315">
        <v>-1254.0462299999999</v>
      </c>
      <c r="R16" s="315">
        <v>-1694.3518939999999</v>
      </c>
      <c r="S16" s="315">
        <v>-504.33225500000003</v>
      </c>
      <c r="T16" s="315">
        <v>-1063.3123229999999</v>
      </c>
      <c r="U16" s="315">
        <v>-1660.006437</v>
      </c>
      <c r="V16" s="316">
        <v>-2263.3094940000001</v>
      </c>
    </row>
    <row r="17" spans="2:22" ht="15" thickBot="1" x14ac:dyDescent="0.35">
      <c r="B17" s="239" t="s">
        <v>259</v>
      </c>
      <c r="C17" s="309" t="s">
        <v>291</v>
      </c>
      <c r="D17" s="314">
        <v>-526.94573000000003</v>
      </c>
      <c r="E17" s="314">
        <v>-589.65214400000002</v>
      </c>
      <c r="F17" s="315">
        <v>-679.37316499999997</v>
      </c>
      <c r="G17" s="315">
        <v>-479.92029300000002</v>
      </c>
      <c r="H17" s="315">
        <v>-637.39113199999997</v>
      </c>
      <c r="I17" s="315">
        <v>-933.54613300000005</v>
      </c>
      <c r="J17" s="315">
        <v>-1645.710259</v>
      </c>
      <c r="K17" s="315">
        <v>-863.59520799999996</v>
      </c>
      <c r="L17" s="315">
        <v>-1630.8714379999999</v>
      </c>
      <c r="M17" s="315">
        <v>-2534.6642000000002</v>
      </c>
      <c r="N17" s="315">
        <v>-6446.7102480000003</v>
      </c>
      <c r="O17" s="315">
        <v>-2746.9847100000002</v>
      </c>
      <c r="P17" s="315">
        <v>-4904.4271159999998</v>
      </c>
      <c r="Q17" s="315">
        <v>-6261.8504160000002</v>
      </c>
      <c r="R17" s="315">
        <v>-8317.0788190000003</v>
      </c>
      <c r="S17" s="315">
        <v>-1711.326288</v>
      </c>
      <c r="T17" s="315">
        <v>-3036.2286569999997</v>
      </c>
      <c r="U17" s="315">
        <v>-4413.8316369999993</v>
      </c>
      <c r="V17" s="316">
        <v>-6312.7160640000002</v>
      </c>
    </row>
    <row r="18" spans="2:22" ht="15" thickTop="1" x14ac:dyDescent="0.3">
      <c r="B18" s="240" t="s">
        <v>101</v>
      </c>
      <c r="C18" s="232" t="s">
        <v>101</v>
      </c>
      <c r="D18" s="317">
        <v>492.52694600000063</v>
      </c>
      <c r="E18" s="317">
        <v>1876.296421</v>
      </c>
      <c r="F18" s="318">
        <v>2616.1026009999996</v>
      </c>
      <c r="G18" s="318">
        <v>1207.6872000000003</v>
      </c>
      <c r="H18" s="318">
        <v>4380.1383620000006</v>
      </c>
      <c r="I18" s="318">
        <v>6733.2082680000021</v>
      </c>
      <c r="J18" s="318">
        <v>9041.5621490000012</v>
      </c>
      <c r="K18" s="318">
        <v>3083.2337989999987</v>
      </c>
      <c r="L18" s="318">
        <v>9223.102280000001</v>
      </c>
      <c r="M18" s="318">
        <v>13129.660048999998</v>
      </c>
      <c r="N18" s="318">
        <v>16524.726386999992</v>
      </c>
      <c r="O18" s="318">
        <v>6137.0563059999986</v>
      </c>
      <c r="P18" s="318">
        <v>10245.066117999995</v>
      </c>
      <c r="Q18" s="318">
        <v>12734.840995999999</v>
      </c>
      <c r="R18" s="318">
        <v>15465.100227000003</v>
      </c>
      <c r="S18" s="318">
        <v>2913.6118759999999</v>
      </c>
      <c r="T18" s="318">
        <v>7396.6429220000009</v>
      </c>
      <c r="U18" s="318">
        <v>11274.799987999995</v>
      </c>
      <c r="V18" s="319">
        <v>14306.529657999992</v>
      </c>
    </row>
    <row r="19" spans="2:22" ht="15" thickBot="1" x14ac:dyDescent="0.35">
      <c r="B19" s="239" t="s">
        <v>285</v>
      </c>
      <c r="C19" s="325" t="s">
        <v>293</v>
      </c>
      <c r="D19" s="320">
        <v>-97.187380095950573</v>
      </c>
      <c r="E19" s="320">
        <v>-199.13047576341839</v>
      </c>
      <c r="F19" s="315">
        <v>-303.31244370565094</v>
      </c>
      <c r="G19" s="315">
        <v>-104.9351327897337</v>
      </c>
      <c r="H19" s="315">
        <v>-241.94323016319655</v>
      </c>
      <c r="I19" s="315">
        <v>-338.81189822498948</v>
      </c>
      <c r="J19" s="315">
        <v>-473.5611962866908</v>
      </c>
      <c r="K19" s="315">
        <v>-143.87873925667074</v>
      </c>
      <c r="L19" s="315">
        <v>-340.14385786087178</v>
      </c>
      <c r="M19" s="315">
        <v>-550.68097760368016</v>
      </c>
      <c r="N19" s="315">
        <v>-795.66488926243937</v>
      </c>
      <c r="O19" s="315">
        <v>-191.31525734780175</v>
      </c>
      <c r="P19" s="315">
        <v>-406.69782368840538</v>
      </c>
      <c r="Q19" s="315">
        <v>-647.69821776572735</v>
      </c>
      <c r="R19" s="315">
        <v>-910.83003570588346</v>
      </c>
      <c r="S19" s="315">
        <v>-254.87138370220796</v>
      </c>
      <c r="T19" s="315">
        <v>-552.80174510996824</v>
      </c>
      <c r="U19" s="315">
        <v>-842.39884518604845</v>
      </c>
      <c r="V19" s="316">
        <v>-1163.8400034019078</v>
      </c>
    </row>
    <row r="20" spans="2:22" ht="15.6" thickTop="1" thickBot="1" x14ac:dyDescent="0.35">
      <c r="B20" s="310" t="s">
        <v>286</v>
      </c>
      <c r="C20" s="326" t="s">
        <v>286</v>
      </c>
      <c r="D20" s="321">
        <v>395.33956590405006</v>
      </c>
      <c r="E20" s="321">
        <v>1677.1659452365816</v>
      </c>
      <c r="F20" s="322">
        <v>2312.7901572943488</v>
      </c>
      <c r="G20" s="322">
        <v>1102.7520672102667</v>
      </c>
      <c r="H20" s="322">
        <v>4138.1951318368037</v>
      </c>
      <c r="I20" s="322">
        <v>6394.3963697750123</v>
      </c>
      <c r="J20" s="322">
        <v>8568.0009527133097</v>
      </c>
      <c r="K20" s="322">
        <v>2939.3550597433282</v>
      </c>
      <c r="L20" s="322">
        <v>8882.9584221391287</v>
      </c>
      <c r="M20" s="322">
        <v>12578.979071396318</v>
      </c>
      <c r="N20" s="322">
        <v>15729.061497737552</v>
      </c>
      <c r="O20" s="322">
        <v>5945.7410486521967</v>
      </c>
      <c r="P20" s="322">
        <v>9838.3682943115891</v>
      </c>
      <c r="Q20" s="322">
        <v>12087.142778234273</v>
      </c>
      <c r="R20" s="322">
        <v>14554.270191294119</v>
      </c>
      <c r="S20" s="322">
        <v>2658.7404922977921</v>
      </c>
      <c r="T20" s="322">
        <v>6843.8411768900323</v>
      </c>
      <c r="U20" s="322">
        <v>10432.401142813947</v>
      </c>
      <c r="V20" s="323">
        <v>13142.689654598085</v>
      </c>
    </row>
    <row r="21" spans="2:22" ht="15" customHeight="1" thickBot="1" x14ac:dyDescent="0.35">
      <c r="B21" s="332"/>
      <c r="C21" s="332"/>
      <c r="D21" s="333"/>
      <c r="E21" s="333"/>
      <c r="F21" s="333"/>
      <c r="G21" s="333"/>
      <c r="H21" s="333"/>
      <c r="I21" s="333"/>
      <c r="J21" s="333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</row>
    <row r="22" spans="2:22" ht="29.4" thickTop="1" x14ac:dyDescent="0.3">
      <c r="B22" s="328" t="s">
        <v>315</v>
      </c>
      <c r="C22" s="329" t="s">
        <v>316</v>
      </c>
      <c r="D22" s="147">
        <v>2016</v>
      </c>
      <c r="E22" s="147">
        <v>2017</v>
      </c>
      <c r="F22" s="147">
        <v>2018</v>
      </c>
      <c r="G22" s="147">
        <v>2019</v>
      </c>
      <c r="H22" s="330">
        <v>2020</v>
      </c>
      <c r="I22" s="330">
        <v>2021</v>
      </c>
      <c r="J22" s="147">
        <v>2022</v>
      </c>
      <c r="K22" s="147">
        <v>2023</v>
      </c>
      <c r="L22" s="331">
        <v>2024</v>
      </c>
    </row>
    <row r="23" spans="2:22" x14ac:dyDescent="0.3">
      <c r="B23" s="238" t="s">
        <v>149</v>
      </c>
      <c r="C23" s="233" t="s">
        <v>294</v>
      </c>
      <c r="D23" s="311">
        <v>1015.4943420000001</v>
      </c>
      <c r="E23" s="311">
        <v>837.77375500000005</v>
      </c>
      <c r="F23" s="312">
        <v>626.95699999999999</v>
      </c>
      <c r="G23" s="312">
        <v>2361.5619999999999</v>
      </c>
      <c r="H23" s="312">
        <v>3584.9936440000001</v>
      </c>
      <c r="I23" s="312">
        <v>5006.5676350000003</v>
      </c>
      <c r="J23" s="312">
        <v>5162.5328600000003</v>
      </c>
      <c r="K23" s="312">
        <v>5210.509024</v>
      </c>
      <c r="L23" s="313">
        <v>7283.381934</v>
      </c>
    </row>
    <row r="24" spans="2:22" x14ac:dyDescent="0.3">
      <c r="B24" s="239" t="s">
        <v>278</v>
      </c>
      <c r="C24" s="309" t="s">
        <v>269</v>
      </c>
      <c r="D24" s="314"/>
      <c r="E24" s="314"/>
      <c r="F24" s="315"/>
      <c r="G24" s="315"/>
      <c r="H24" s="315"/>
      <c r="I24" s="315">
        <v>0</v>
      </c>
      <c r="J24" s="315">
        <v>0</v>
      </c>
      <c r="K24" s="315">
        <v>-12</v>
      </c>
      <c r="L24" s="316">
        <v>-0.97272899999999995</v>
      </c>
    </row>
    <row r="25" spans="2:22" x14ac:dyDescent="0.3">
      <c r="B25" s="239" t="s">
        <v>129</v>
      </c>
      <c r="C25" s="309" t="s">
        <v>290</v>
      </c>
      <c r="D25" s="314"/>
      <c r="E25" s="314"/>
      <c r="F25" s="315">
        <v>-164.44706500000001</v>
      </c>
      <c r="G25" s="315">
        <v>-492.32457199999999</v>
      </c>
      <c r="H25" s="315">
        <v>-669.37559699999997</v>
      </c>
      <c r="I25" s="315">
        <v>-664.92608700000005</v>
      </c>
      <c r="J25" s="315">
        <v>-966.62602900000002</v>
      </c>
      <c r="K25" s="315">
        <v>-1845.7358839999999</v>
      </c>
      <c r="L25" s="316">
        <v>-2158.9404070000001</v>
      </c>
    </row>
    <row r="26" spans="2:22" x14ac:dyDescent="0.3">
      <c r="B26" s="239" t="s">
        <v>105</v>
      </c>
      <c r="C26" s="309" t="s">
        <v>292</v>
      </c>
      <c r="D26" s="314"/>
      <c r="E26" s="314"/>
      <c r="F26" s="315">
        <v>-72.527202000000003</v>
      </c>
      <c r="G26" s="315">
        <v>0</v>
      </c>
      <c r="H26" s="315">
        <v>-0.05</v>
      </c>
      <c r="I26" s="315">
        <v>-187.552145</v>
      </c>
      <c r="J26" s="315">
        <v>-218.97185999999999</v>
      </c>
      <c r="K26" s="315">
        <v>-342.17880000000002</v>
      </c>
      <c r="L26" s="316">
        <v>-504.12137999999999</v>
      </c>
    </row>
    <row r="27" spans="2:22" ht="15" thickBot="1" x14ac:dyDescent="0.35">
      <c r="B27" s="239" t="s">
        <v>259</v>
      </c>
      <c r="C27" s="309" t="s">
        <v>291</v>
      </c>
      <c r="D27" s="314"/>
      <c r="E27" s="314"/>
      <c r="F27" s="315">
        <v>42.755336999999997</v>
      </c>
      <c r="G27" s="315">
        <v>34.405726999999999</v>
      </c>
      <c r="H27" s="315">
        <v>39.092208999999997</v>
      </c>
      <c r="I27" s="315">
        <v>-37.050595000000001</v>
      </c>
      <c r="J27" s="315">
        <v>-242.81948199999999</v>
      </c>
      <c r="K27" s="315">
        <v>-324.99629800000002</v>
      </c>
      <c r="L27" s="316">
        <v>36.250664999999998</v>
      </c>
    </row>
    <row r="28" spans="2:22" ht="15" thickTop="1" x14ac:dyDescent="0.3">
      <c r="B28" s="240" t="s">
        <v>101</v>
      </c>
      <c r="C28" s="232" t="s">
        <v>101</v>
      </c>
      <c r="D28" s="317">
        <v>712.66561700000011</v>
      </c>
      <c r="E28" s="317">
        <v>557.77375500000005</v>
      </c>
      <c r="F28" s="318">
        <v>432.95699999999999</v>
      </c>
      <c r="G28" s="318">
        <v>1903.6441900000002</v>
      </c>
      <c r="H28" s="318">
        <v>2954.6602560000001</v>
      </c>
      <c r="I28" s="318">
        <v>4117.0388080000012</v>
      </c>
      <c r="J28" s="318">
        <v>3734.1154890000003</v>
      </c>
      <c r="K28" s="318">
        <v>2685.4396700000002</v>
      </c>
      <c r="L28" s="319">
        <v>4655.5980829999999</v>
      </c>
    </row>
    <row r="29" spans="2:22" ht="15" thickBot="1" x14ac:dyDescent="0.35">
      <c r="B29" s="239" t="s">
        <v>285</v>
      </c>
      <c r="C29" s="325" t="s">
        <v>293</v>
      </c>
      <c r="D29" s="320"/>
      <c r="E29" s="320"/>
      <c r="F29" s="315"/>
      <c r="G29" s="315"/>
      <c r="H29" s="315"/>
      <c r="I29" s="315">
        <v>-92.914352103459748</v>
      </c>
      <c r="J29" s="315">
        <v>-204.93106698810311</v>
      </c>
      <c r="K29" s="315">
        <v>-261.23556628581281</v>
      </c>
      <c r="L29" s="316">
        <v>-332.82720225715082</v>
      </c>
    </row>
    <row r="30" spans="2:22" ht="15.6" thickTop="1" thickBot="1" x14ac:dyDescent="0.35">
      <c r="B30" s="310" t="s">
        <v>286</v>
      </c>
      <c r="C30" s="326" t="s">
        <v>286</v>
      </c>
      <c r="D30" s="321"/>
      <c r="E30" s="321"/>
      <c r="F30" s="322"/>
      <c r="G30" s="322"/>
      <c r="H30" s="322"/>
      <c r="I30" s="322">
        <v>4024.1244558965413</v>
      </c>
      <c r="J30" s="322">
        <v>3529.1844220118974</v>
      </c>
      <c r="K30" s="322">
        <v>2424.2041037141876</v>
      </c>
      <c r="L30" s="323">
        <v>4322.7708807428489</v>
      </c>
    </row>
    <row r="31" spans="2:22" ht="6.6" customHeight="1" thickBot="1" x14ac:dyDescent="0.35"/>
    <row r="32" spans="2:22" ht="28.8" x14ac:dyDescent="0.3">
      <c r="B32" s="234" t="s">
        <v>315</v>
      </c>
      <c r="C32" s="248" t="s">
        <v>316</v>
      </c>
      <c r="D32" s="235" t="s">
        <v>190</v>
      </c>
      <c r="E32" s="235" t="s">
        <v>192</v>
      </c>
      <c r="F32" s="235" t="s">
        <v>263</v>
      </c>
      <c r="G32" s="235" t="s">
        <v>284</v>
      </c>
      <c r="H32" s="235" t="s">
        <v>300</v>
      </c>
      <c r="I32" s="235" t="s">
        <v>301</v>
      </c>
      <c r="J32" s="235">
        <v>2021</v>
      </c>
      <c r="K32" s="235" t="s">
        <v>307</v>
      </c>
      <c r="L32" s="235" t="s">
        <v>308</v>
      </c>
      <c r="M32" s="235" t="s">
        <v>309</v>
      </c>
      <c r="N32" s="235">
        <f>+N12</f>
        <v>2022</v>
      </c>
      <c r="O32" s="235" t="s">
        <v>321</v>
      </c>
      <c r="P32" s="235" t="s">
        <v>324</v>
      </c>
      <c r="Q32" s="235" t="s">
        <v>325</v>
      </c>
      <c r="R32" s="235">
        <v>2023</v>
      </c>
      <c r="S32" s="235" t="s">
        <v>344</v>
      </c>
      <c r="T32" s="235" t="s">
        <v>351</v>
      </c>
      <c r="U32" s="235" t="s">
        <v>353</v>
      </c>
      <c r="V32" s="236">
        <v>2024</v>
      </c>
    </row>
    <row r="33" spans="2:22" x14ac:dyDescent="0.3">
      <c r="B33" s="238" t="s">
        <v>149</v>
      </c>
      <c r="C33" s="233" t="s">
        <v>294</v>
      </c>
      <c r="D33" s="311">
        <v>854.14561300000003</v>
      </c>
      <c r="E33" s="311">
        <v>1826.483448</v>
      </c>
      <c r="F33" s="312">
        <v>2594.978384</v>
      </c>
      <c r="G33" s="312">
        <v>1276.776852</v>
      </c>
      <c r="H33" s="312">
        <v>2702.6757480000001</v>
      </c>
      <c r="I33" s="312">
        <v>3733.915207</v>
      </c>
      <c r="J33" s="312">
        <v>5006.5676350000003</v>
      </c>
      <c r="K33" s="312">
        <v>1654.382535</v>
      </c>
      <c r="L33" s="312">
        <v>3089.7707529999998</v>
      </c>
      <c r="M33" s="312">
        <v>4274.6351569999997</v>
      </c>
      <c r="N33" s="312">
        <v>5162.5328600000003</v>
      </c>
      <c r="O33" s="312">
        <v>1295.406117</v>
      </c>
      <c r="P33" s="312">
        <v>2610.6047739999999</v>
      </c>
      <c r="Q33" s="312">
        <v>3857.059988</v>
      </c>
      <c r="R33" s="312">
        <v>5210.509024</v>
      </c>
      <c r="S33" s="312">
        <v>1763.2569550000001</v>
      </c>
      <c r="T33" s="312">
        <v>3282.6511639999999</v>
      </c>
      <c r="U33" s="312">
        <v>5028.6436720000002</v>
      </c>
      <c r="V33" s="313">
        <v>7283.381934</v>
      </c>
    </row>
    <row r="34" spans="2:22" x14ac:dyDescent="0.3">
      <c r="B34" s="239" t="s">
        <v>278</v>
      </c>
      <c r="C34" s="309" t="s">
        <v>269</v>
      </c>
      <c r="D34" s="314">
        <v>0</v>
      </c>
      <c r="E34" s="314">
        <v>0</v>
      </c>
      <c r="F34" s="315">
        <v>0</v>
      </c>
      <c r="G34" s="315">
        <v>0</v>
      </c>
      <c r="H34" s="315">
        <v>0</v>
      </c>
      <c r="I34" s="315">
        <v>0</v>
      </c>
      <c r="J34" s="315">
        <v>0</v>
      </c>
      <c r="K34" s="315">
        <v>0</v>
      </c>
      <c r="L34" s="315">
        <v>0</v>
      </c>
      <c r="M34" s="315">
        <v>0</v>
      </c>
      <c r="N34" s="315">
        <v>0</v>
      </c>
      <c r="O34" s="315">
        <v>0</v>
      </c>
      <c r="P34" s="315">
        <v>0</v>
      </c>
      <c r="Q34" s="315">
        <v>0</v>
      </c>
      <c r="R34" s="315">
        <v>-12</v>
      </c>
      <c r="S34" s="315">
        <v>0</v>
      </c>
      <c r="T34" s="315">
        <v>0.35066799999999998</v>
      </c>
      <c r="U34" s="315">
        <v>0.37072699999999997</v>
      </c>
      <c r="V34" s="316">
        <v>-0.97272899999999995</v>
      </c>
    </row>
    <row r="35" spans="2:22" x14ac:dyDescent="0.3">
      <c r="B35" s="239" t="s">
        <v>129</v>
      </c>
      <c r="C35" s="309" t="s">
        <v>290</v>
      </c>
      <c r="D35" s="314">
        <v>-97.923658000000003</v>
      </c>
      <c r="E35" s="314">
        <v>-219.453802</v>
      </c>
      <c r="F35" s="315">
        <v>-355.53599600000001</v>
      </c>
      <c r="G35" s="315">
        <v>-136.47601900000001</v>
      </c>
      <c r="H35" s="315">
        <v>-309.18091099999998</v>
      </c>
      <c r="I35" s="315">
        <v>-481.19304899999997</v>
      </c>
      <c r="J35" s="315">
        <v>-664.92608700000005</v>
      </c>
      <c r="K35" s="315">
        <v>-169.77789999999999</v>
      </c>
      <c r="L35" s="315">
        <v>-408.86701699999998</v>
      </c>
      <c r="M35" s="315">
        <v>-652.44853699999999</v>
      </c>
      <c r="N35" s="315">
        <v>-966.62602900000002</v>
      </c>
      <c r="O35" s="315">
        <v>-326.32374900000002</v>
      </c>
      <c r="P35" s="315">
        <v>-756.04242999999997</v>
      </c>
      <c r="Q35" s="315">
        <v>-1233.4355539999999</v>
      </c>
      <c r="R35" s="315">
        <v>-1845.7358839999999</v>
      </c>
      <c r="S35" s="315">
        <v>-417.38628199999999</v>
      </c>
      <c r="T35" s="315">
        <v>-931.08979399999998</v>
      </c>
      <c r="U35" s="315">
        <v>-1441.3779380000001</v>
      </c>
      <c r="V35" s="316">
        <v>-2158.9404070000001</v>
      </c>
    </row>
    <row r="36" spans="2:22" x14ac:dyDescent="0.3">
      <c r="B36" s="239" t="s">
        <v>105</v>
      </c>
      <c r="C36" s="309" t="s">
        <v>292</v>
      </c>
      <c r="D36" s="314">
        <v>-26.198546</v>
      </c>
      <c r="E36" s="314">
        <v>-60.088492000000002</v>
      </c>
      <c r="F36" s="315">
        <v>-93.914191000000002</v>
      </c>
      <c r="G36" s="315">
        <v>-43.879548999999997</v>
      </c>
      <c r="H36" s="315">
        <v>-104.465412</v>
      </c>
      <c r="I36" s="315">
        <v>-138.330702</v>
      </c>
      <c r="J36" s="315">
        <v>-187.552145</v>
      </c>
      <c r="K36" s="315">
        <v>-49.738560999999997</v>
      </c>
      <c r="L36" s="315">
        <v>-99.955526000000006</v>
      </c>
      <c r="M36" s="315">
        <v>-158.25170600000001</v>
      </c>
      <c r="N36" s="315">
        <v>-218.97185999999999</v>
      </c>
      <c r="O36" s="315">
        <v>-70.750529</v>
      </c>
      <c r="P36" s="315">
        <v>-146.89648399999999</v>
      </c>
      <c r="Q36" s="315">
        <v>-248.59326999999999</v>
      </c>
      <c r="R36" s="315">
        <v>-342.17880000000002</v>
      </c>
      <c r="S36" s="315">
        <v>-115.884254</v>
      </c>
      <c r="T36" s="315">
        <v>-232.77795399999999</v>
      </c>
      <c r="U36" s="315">
        <v>-353.50326899999999</v>
      </c>
      <c r="V36" s="316">
        <v>-504.12137999999999</v>
      </c>
    </row>
    <row r="37" spans="2:22" ht="15" thickBot="1" x14ac:dyDescent="0.35">
      <c r="B37" s="239" t="s">
        <v>259</v>
      </c>
      <c r="C37" s="309" t="s">
        <v>291</v>
      </c>
      <c r="D37" s="314">
        <v>9.9680409999999995</v>
      </c>
      <c r="E37" s="314">
        <v>30.363389999999999</v>
      </c>
      <c r="F37" s="315">
        <v>39.576348000000003</v>
      </c>
      <c r="G37" s="315">
        <v>14.885300000000001</v>
      </c>
      <c r="H37" s="315">
        <v>18.763017999999999</v>
      </c>
      <c r="I37" s="315">
        <v>13.903919</v>
      </c>
      <c r="J37" s="315">
        <v>-37.050595000000001</v>
      </c>
      <c r="K37" s="315">
        <v>-37.687671000000002</v>
      </c>
      <c r="L37" s="315">
        <v>-99.042079000000001</v>
      </c>
      <c r="M37" s="315">
        <v>-180.868978</v>
      </c>
      <c r="N37" s="315">
        <v>-242.81948199999999</v>
      </c>
      <c r="O37" s="315">
        <v>-37.548814</v>
      </c>
      <c r="P37" s="315">
        <v>-32.474991000000003</v>
      </c>
      <c r="Q37" s="315">
        <v>-15.151009999999999</v>
      </c>
      <c r="R37" s="315">
        <v>-324.99629800000002</v>
      </c>
      <c r="S37" s="315">
        <v>-6.7211429999999996</v>
      </c>
      <c r="T37" s="315">
        <v>-9.858333</v>
      </c>
      <c r="U37" s="315">
        <v>25.244524999999999</v>
      </c>
      <c r="V37" s="316">
        <v>36.250664999999998</v>
      </c>
    </row>
    <row r="38" spans="2:22" ht="15" thickTop="1" x14ac:dyDescent="0.3">
      <c r="B38" s="240" t="s">
        <v>101</v>
      </c>
      <c r="C38" s="232" t="s">
        <v>101</v>
      </c>
      <c r="D38" s="317">
        <v>739.99144999999999</v>
      </c>
      <c r="E38" s="317">
        <v>1577.3045439999999</v>
      </c>
      <c r="F38" s="318">
        <v>2185.1045450000001</v>
      </c>
      <c r="G38" s="318">
        <v>1111.3065839999999</v>
      </c>
      <c r="H38" s="318">
        <v>2307.7924430000003</v>
      </c>
      <c r="I38" s="318">
        <v>3128.2953749999997</v>
      </c>
      <c r="J38" s="318">
        <v>4117.0388080000012</v>
      </c>
      <c r="K38" s="318">
        <v>1397.1784030000001</v>
      </c>
      <c r="L38" s="318">
        <v>2481.9061309999997</v>
      </c>
      <c r="M38" s="318">
        <v>3283.0659359999995</v>
      </c>
      <c r="N38" s="318">
        <v>3734.1154890000003</v>
      </c>
      <c r="O38" s="318">
        <v>860.78302499999995</v>
      </c>
      <c r="P38" s="318">
        <v>1675.190869</v>
      </c>
      <c r="Q38" s="318">
        <v>2359.8801540000004</v>
      </c>
      <c r="R38" s="318">
        <v>2685.4396700000002</v>
      </c>
      <c r="S38" s="318">
        <v>1223.2652760000001</v>
      </c>
      <c r="T38" s="318">
        <v>2109.2757509999997</v>
      </c>
      <c r="U38" s="318">
        <v>3259.3777170000008</v>
      </c>
      <c r="V38" s="319">
        <v>4655.5980829999999</v>
      </c>
    </row>
    <row r="39" spans="2:22" ht="15" thickBot="1" x14ac:dyDescent="0.35">
      <c r="B39" s="239" t="s">
        <v>285</v>
      </c>
      <c r="C39" s="325" t="s">
        <v>293</v>
      </c>
      <c r="D39" s="320">
        <v>-19.975341403388764</v>
      </c>
      <c r="E39" s="320">
        <v>-41.095917606512359</v>
      </c>
      <c r="F39" s="315">
        <v>-61.981117914942303</v>
      </c>
      <c r="G39" s="315">
        <v>-21.767786247282963</v>
      </c>
      <c r="H39" s="315">
        <v>-47.64396411346052</v>
      </c>
      <c r="I39" s="315">
        <v>-66.933164946165419</v>
      </c>
      <c r="J39" s="315">
        <v>-92.914352103459748</v>
      </c>
      <c r="K39" s="315">
        <v>-37.626731341152862</v>
      </c>
      <c r="L39" s="315">
        <v>-88.094079056491609</v>
      </c>
      <c r="M39" s="315">
        <v>-142.08520019984005</v>
      </c>
      <c r="N39" s="315">
        <v>-204.93106698810311</v>
      </c>
      <c r="O39" s="315">
        <v>-58.182710911359337</v>
      </c>
      <c r="P39" s="315">
        <v>-117.47462715102945</v>
      </c>
      <c r="Q39" s="315">
        <v>-186.38933809677661</v>
      </c>
      <c r="R39" s="315">
        <v>-261.23556628581281</v>
      </c>
      <c r="S39" s="315">
        <v>-75.016719322703267</v>
      </c>
      <c r="T39" s="315">
        <v>-159.97198321942926</v>
      </c>
      <c r="U39" s="315">
        <v>-242.97064340638349</v>
      </c>
      <c r="V39" s="316">
        <v>-332.82720225715082</v>
      </c>
    </row>
    <row r="40" spans="2:22" ht="15.6" thickTop="1" thickBot="1" x14ac:dyDescent="0.35">
      <c r="B40" s="310" t="s">
        <v>286</v>
      </c>
      <c r="C40" s="326" t="s">
        <v>286</v>
      </c>
      <c r="D40" s="321">
        <v>720.01610859661128</v>
      </c>
      <c r="E40" s="321">
        <v>1536.2086263934875</v>
      </c>
      <c r="F40" s="322">
        <v>2123.1234270850578</v>
      </c>
      <c r="G40" s="322">
        <v>1089.5387977527171</v>
      </c>
      <c r="H40" s="322">
        <v>2260.1484788865396</v>
      </c>
      <c r="I40" s="322">
        <v>3061.3622100538341</v>
      </c>
      <c r="J40" s="322">
        <v>4024.1244558965413</v>
      </c>
      <c r="K40" s="322">
        <v>1359.5516716588472</v>
      </c>
      <c r="L40" s="322">
        <v>2393.8120519435083</v>
      </c>
      <c r="M40" s="322">
        <v>3140.9807358001594</v>
      </c>
      <c r="N40" s="322">
        <v>3529.1844220118974</v>
      </c>
      <c r="O40" s="322">
        <v>802.60031408864063</v>
      </c>
      <c r="P40" s="322">
        <v>1557.7162418489706</v>
      </c>
      <c r="Q40" s="322">
        <v>2173.4908159032238</v>
      </c>
      <c r="R40" s="322">
        <v>2424.2041037141876</v>
      </c>
      <c r="S40" s="322">
        <v>1148.2485566772968</v>
      </c>
      <c r="T40" s="322">
        <v>1949.3037677805705</v>
      </c>
      <c r="U40" s="322">
        <v>3016.4070735936175</v>
      </c>
      <c r="V40" s="323">
        <v>4322.7708807428489</v>
      </c>
    </row>
    <row r="41" spans="2:22" ht="14.4" customHeight="1" thickBot="1" x14ac:dyDescent="0.35">
      <c r="B41" s="332"/>
      <c r="C41" s="332"/>
      <c r="D41" s="333"/>
      <c r="E41" s="333"/>
      <c r="F41" s="333"/>
      <c r="G41" s="333"/>
      <c r="H41" s="333"/>
      <c r="I41" s="333"/>
      <c r="J41" s="333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</row>
    <row r="42" spans="2:22" ht="15" thickTop="1" x14ac:dyDescent="0.3">
      <c r="B42" s="234" t="s">
        <v>287</v>
      </c>
      <c r="C42" s="248" t="s">
        <v>295</v>
      </c>
      <c r="D42" s="235">
        <v>2016</v>
      </c>
      <c r="E42" s="235">
        <v>2017</v>
      </c>
      <c r="F42" s="235">
        <v>2018</v>
      </c>
      <c r="G42" s="235">
        <v>2019</v>
      </c>
      <c r="H42" s="235">
        <v>2020</v>
      </c>
      <c r="I42" s="235">
        <v>2021</v>
      </c>
      <c r="J42" s="235">
        <v>2022</v>
      </c>
      <c r="K42" s="235">
        <v>2023</v>
      </c>
      <c r="L42" s="236">
        <v>2024</v>
      </c>
    </row>
    <row r="43" spans="2:22" x14ac:dyDescent="0.3">
      <c r="B43" s="238" t="s">
        <v>149</v>
      </c>
      <c r="C43" s="233" t="s">
        <v>294</v>
      </c>
      <c r="D43" s="311">
        <v>3897.1971610000001</v>
      </c>
      <c r="E43" s="311">
        <v>6216.3799730000001</v>
      </c>
      <c r="F43" s="312">
        <v>7581.6869999999999</v>
      </c>
      <c r="G43" s="312">
        <v>9558.2109999999993</v>
      </c>
      <c r="H43" s="312">
        <v>10746.656838999999</v>
      </c>
      <c r="I43" s="312">
        <v>3305.4692789999999</v>
      </c>
      <c r="J43" s="312">
        <v>5087.8212620000004</v>
      </c>
      <c r="K43" s="312">
        <v>4902.9370859999999</v>
      </c>
      <c r="L43" s="313">
        <v>5901.9311150000003</v>
      </c>
    </row>
    <row r="44" spans="2:22" x14ac:dyDescent="0.3">
      <c r="B44" s="239" t="s">
        <v>278</v>
      </c>
      <c r="C44" s="309" t="s">
        <v>269</v>
      </c>
      <c r="D44" s="314"/>
      <c r="E44" s="314"/>
      <c r="F44" s="315"/>
      <c r="G44" s="315"/>
      <c r="H44" s="315"/>
      <c r="I44" s="315">
        <v>135.43105199999999</v>
      </c>
      <c r="J44" s="315">
        <v>217.53115199999999</v>
      </c>
      <c r="K44" s="315">
        <v>274</v>
      </c>
      <c r="L44" s="316">
        <v>408.27441399999998</v>
      </c>
    </row>
    <row r="45" spans="2:22" x14ac:dyDescent="0.3">
      <c r="B45" s="239" t="s">
        <v>129</v>
      </c>
      <c r="C45" s="309" t="s">
        <v>290</v>
      </c>
      <c r="D45" s="314"/>
      <c r="E45" s="314"/>
      <c r="F45" s="315">
        <v>-4926.3543970000001</v>
      </c>
      <c r="G45" s="315">
        <v>-5747.9749039999997</v>
      </c>
      <c r="H45" s="315">
        <v>-7808.7500980000004</v>
      </c>
      <c r="I45" s="315">
        <v>-1379.3160600000001</v>
      </c>
      <c r="J45" s="315">
        <v>-2675.0758329999999</v>
      </c>
      <c r="K45" s="315">
        <v>-2180.7128929999999</v>
      </c>
      <c r="L45" s="316">
        <v>-2925.295157</v>
      </c>
    </row>
    <row r="46" spans="2:22" x14ac:dyDescent="0.3">
      <c r="B46" s="239" t="s">
        <v>105</v>
      </c>
      <c r="C46" s="309" t="s">
        <v>292</v>
      </c>
      <c r="D46" s="314"/>
      <c r="E46" s="314"/>
      <c r="F46" s="315">
        <v>-1611.2658750000001</v>
      </c>
      <c r="G46" s="315">
        <v>-1942.7011560000001</v>
      </c>
      <c r="H46" s="315">
        <v>-2445.5793829999998</v>
      </c>
      <c r="I46" s="315">
        <v>-1413.1897839999999</v>
      </c>
      <c r="J46" s="315">
        <v>-2116.022586</v>
      </c>
      <c r="K46" s="315">
        <v>-2048.0343109999999</v>
      </c>
      <c r="L46" s="316">
        <v>-2762.950319</v>
      </c>
    </row>
    <row r="47" spans="2:22" ht="15" thickBot="1" x14ac:dyDescent="0.35">
      <c r="B47" s="239" t="s">
        <v>259</v>
      </c>
      <c r="C47" s="309" t="s">
        <v>291</v>
      </c>
      <c r="D47" s="314"/>
      <c r="E47" s="314"/>
      <c r="F47" s="315">
        <v>212.96696299999999</v>
      </c>
      <c r="G47" s="315">
        <v>-54.346029000000001</v>
      </c>
      <c r="H47" s="315">
        <v>-94.563053999999994</v>
      </c>
      <c r="I47" s="315">
        <v>47.844014000000001</v>
      </c>
      <c r="J47" s="315">
        <v>-93.284132</v>
      </c>
      <c r="K47" s="315">
        <v>84.951785999999998</v>
      </c>
      <c r="L47" s="316">
        <v>-69.064835000000002</v>
      </c>
    </row>
    <row r="48" spans="2:22" ht="15" thickTop="1" x14ac:dyDescent="0.3">
      <c r="B48" s="240" t="s">
        <v>101</v>
      </c>
      <c r="C48" s="232" t="s">
        <v>101</v>
      </c>
      <c r="D48" s="317">
        <v>763.58220399999982</v>
      </c>
      <c r="E48" s="317">
        <v>1167.3799730000001</v>
      </c>
      <c r="F48" s="318">
        <v>1256.6869999999999</v>
      </c>
      <c r="G48" s="318">
        <v>1813.1889260000007</v>
      </c>
      <c r="H48" s="318">
        <v>440.90204499999953</v>
      </c>
      <c r="I48" s="318">
        <v>696.23850099999981</v>
      </c>
      <c r="J48" s="318">
        <v>420.96986300000003</v>
      </c>
      <c r="K48" s="318">
        <v>1033.0811400000002</v>
      </c>
      <c r="L48" s="319">
        <v>552.89521800000068</v>
      </c>
    </row>
    <row r="49" spans="2:22" ht="15" thickBot="1" x14ac:dyDescent="0.35">
      <c r="B49" s="239" t="s">
        <v>285</v>
      </c>
      <c r="C49" s="325" t="s">
        <v>293</v>
      </c>
      <c r="D49" s="320"/>
      <c r="E49" s="320"/>
      <c r="F49" s="315"/>
      <c r="G49" s="315"/>
      <c r="H49" s="315"/>
      <c r="I49" s="315">
        <v>-731.25173141553296</v>
      </c>
      <c r="J49" s="315">
        <v>-869.43517401703593</v>
      </c>
      <c r="K49" s="315">
        <v>-1072.887015156298</v>
      </c>
      <c r="L49" s="316">
        <v>-1334.5607115855639</v>
      </c>
    </row>
    <row r="50" spans="2:22" ht="15.6" thickTop="1" thickBot="1" x14ac:dyDescent="0.35">
      <c r="B50" s="310" t="s">
        <v>286</v>
      </c>
      <c r="C50" s="326" t="s">
        <v>286</v>
      </c>
      <c r="D50" s="321"/>
      <c r="E50" s="321"/>
      <c r="F50" s="322"/>
      <c r="G50" s="322"/>
      <c r="H50" s="322"/>
      <c r="I50" s="322">
        <v>-35.013230415533144</v>
      </c>
      <c r="J50" s="322">
        <v>-448.4653110170359</v>
      </c>
      <c r="K50" s="322">
        <v>-39.805875156297816</v>
      </c>
      <c r="L50" s="323">
        <v>-781.66549358556324</v>
      </c>
    </row>
    <row r="51" spans="2:22" ht="8.4" customHeight="1" thickBot="1" x14ac:dyDescent="0.35"/>
    <row r="52" spans="2:22" x14ac:dyDescent="0.3">
      <c r="B52" s="234" t="s">
        <v>287</v>
      </c>
      <c r="C52" s="248" t="s">
        <v>295</v>
      </c>
      <c r="D52" s="235" t="s">
        <v>190</v>
      </c>
      <c r="E52" s="235" t="s">
        <v>192</v>
      </c>
      <c r="F52" s="235" t="s">
        <v>263</v>
      </c>
      <c r="G52" s="235" t="s">
        <v>284</v>
      </c>
      <c r="H52" s="235" t="s">
        <v>300</v>
      </c>
      <c r="I52" s="235" t="s">
        <v>301</v>
      </c>
      <c r="J52" s="235">
        <v>2021</v>
      </c>
      <c r="K52" s="235" t="s">
        <v>307</v>
      </c>
      <c r="L52" s="235" t="s">
        <v>308</v>
      </c>
      <c r="M52" s="235" t="s">
        <v>309</v>
      </c>
      <c r="N52" s="235">
        <f>+N32</f>
        <v>2022</v>
      </c>
      <c r="O52" s="235" t="s">
        <v>321</v>
      </c>
      <c r="P52" s="235" t="s">
        <v>324</v>
      </c>
      <c r="Q52" s="235" t="s">
        <v>325</v>
      </c>
      <c r="R52" s="235">
        <v>2023</v>
      </c>
      <c r="S52" s="235" t="s">
        <v>344</v>
      </c>
      <c r="T52" s="235" t="s">
        <v>351</v>
      </c>
      <c r="U52" s="235" t="s">
        <v>353</v>
      </c>
      <c r="V52" s="236">
        <v>2024</v>
      </c>
    </row>
    <row r="53" spans="2:22" x14ac:dyDescent="0.3">
      <c r="B53" s="238" t="s">
        <v>149</v>
      </c>
      <c r="C53" s="233" t="s">
        <v>294</v>
      </c>
      <c r="D53" s="311">
        <v>1015.393445</v>
      </c>
      <c r="E53" s="311">
        <v>2023.3077780000001</v>
      </c>
      <c r="F53" s="312">
        <v>3654.9203689999999</v>
      </c>
      <c r="G53" s="312">
        <v>688.93179999999995</v>
      </c>
      <c r="H53" s="312">
        <v>1486.5342499999999</v>
      </c>
      <c r="I53" s="312">
        <v>2363.8770770000001</v>
      </c>
      <c r="J53" s="312">
        <v>3305.4692789999999</v>
      </c>
      <c r="K53" s="312">
        <v>849.68527300000005</v>
      </c>
      <c r="L53" s="312">
        <v>1776.717549</v>
      </c>
      <c r="M53" s="312">
        <v>3097.9595060000001</v>
      </c>
      <c r="N53" s="312">
        <v>5087.8212620000004</v>
      </c>
      <c r="O53" s="312">
        <v>1165.400447</v>
      </c>
      <c r="P53" s="312">
        <v>2161.7748710000001</v>
      </c>
      <c r="Q53" s="312">
        <v>3342.323934</v>
      </c>
      <c r="R53" s="312">
        <v>4902.9370859999999</v>
      </c>
      <c r="S53" s="312">
        <v>1024.851265</v>
      </c>
      <c r="T53" s="312">
        <v>2331.6943970000002</v>
      </c>
      <c r="U53" s="312">
        <v>3602.6569490000002</v>
      </c>
      <c r="V53" s="313">
        <v>5901.9311150000003</v>
      </c>
    </row>
    <row r="54" spans="2:22" x14ac:dyDescent="0.3">
      <c r="B54" s="239" t="s">
        <v>278</v>
      </c>
      <c r="C54" s="309" t="s">
        <v>269</v>
      </c>
      <c r="D54" s="314">
        <v>5.4641719999999996</v>
      </c>
      <c r="E54" s="314">
        <v>9.960032</v>
      </c>
      <c r="F54" s="315">
        <v>15.245792</v>
      </c>
      <c r="G54" s="315">
        <v>32.358257999999999</v>
      </c>
      <c r="H54" s="315">
        <v>65.924637000000004</v>
      </c>
      <c r="I54" s="315">
        <v>103.444453</v>
      </c>
      <c r="J54" s="315">
        <v>135.43105199999999</v>
      </c>
      <c r="K54" s="315">
        <v>47.328283999999996</v>
      </c>
      <c r="L54" s="315">
        <v>-733.72254799999996</v>
      </c>
      <c r="M54" s="315">
        <v>150.01679799999999</v>
      </c>
      <c r="N54" s="315">
        <v>217.53115199999999</v>
      </c>
      <c r="O54" s="315">
        <v>53.668194999999997</v>
      </c>
      <c r="P54" s="315">
        <v>115</v>
      </c>
      <c r="Q54" s="315">
        <v>203</v>
      </c>
      <c r="R54" s="315">
        <v>-2180.7128929999999</v>
      </c>
      <c r="S54" s="315">
        <v>98.876215000000002</v>
      </c>
      <c r="T54" s="315">
        <v>231.751462</v>
      </c>
      <c r="U54" s="315">
        <v>331.471271</v>
      </c>
      <c r="V54" s="316">
        <v>408.27441399999998</v>
      </c>
    </row>
    <row r="55" spans="2:22" x14ac:dyDescent="0.3">
      <c r="B55" s="239" t="s">
        <v>129</v>
      </c>
      <c r="C55" s="309" t="s">
        <v>290</v>
      </c>
      <c r="D55" s="314">
        <v>-506.50804599999998</v>
      </c>
      <c r="E55" s="314">
        <v>-1053.871431</v>
      </c>
      <c r="F55" s="315">
        <v>-2137.8035319999999</v>
      </c>
      <c r="G55" s="315">
        <v>-220.83137099999999</v>
      </c>
      <c r="H55" s="315">
        <v>-597.042506</v>
      </c>
      <c r="I55" s="315">
        <v>-872.09309800000005</v>
      </c>
      <c r="J55" s="315">
        <v>-1379.3160600000001</v>
      </c>
      <c r="K55" s="315">
        <v>-355.37791800000002</v>
      </c>
      <c r="L55" s="315">
        <v>-861.08646099999999</v>
      </c>
      <c r="M55" s="315">
        <v>-1412.684769</v>
      </c>
      <c r="N55" s="315">
        <v>-2675.0758329999999</v>
      </c>
      <c r="O55" s="315">
        <v>-487.349425</v>
      </c>
      <c r="P55" s="315">
        <v>-831.47333200000003</v>
      </c>
      <c r="Q55" s="315">
        <v>-1379.161319</v>
      </c>
      <c r="R55" s="315">
        <v>-2048.0343109999999</v>
      </c>
      <c r="S55" s="315">
        <v>-301.90320800000001</v>
      </c>
      <c r="T55" s="315">
        <v>-909.811868</v>
      </c>
      <c r="U55" s="315">
        <v>-1406.4091880000001</v>
      </c>
      <c r="V55" s="316">
        <v>-2925.295157</v>
      </c>
    </row>
    <row r="56" spans="2:22" x14ac:dyDescent="0.3">
      <c r="B56" s="239" t="s">
        <v>105</v>
      </c>
      <c r="C56" s="309" t="s">
        <v>292</v>
      </c>
      <c r="D56" s="314">
        <v>-288.73344300000002</v>
      </c>
      <c r="E56" s="314">
        <v>-573.52782200000001</v>
      </c>
      <c r="F56" s="315">
        <v>-901.34715700000004</v>
      </c>
      <c r="G56" s="315">
        <v>-304.824772</v>
      </c>
      <c r="H56" s="315">
        <v>-770.649764</v>
      </c>
      <c r="I56" s="315">
        <v>-1032.0800830000001</v>
      </c>
      <c r="J56" s="315">
        <v>-1413.1897839999999</v>
      </c>
      <c r="K56" s="315">
        <v>-373.97345300000001</v>
      </c>
      <c r="L56" s="315">
        <v>98.553075000000007</v>
      </c>
      <c r="M56" s="315">
        <v>-1375.2865830000001</v>
      </c>
      <c r="N56" s="315">
        <v>-2116.022586</v>
      </c>
      <c r="O56" s="315">
        <v>-467.85237499999999</v>
      </c>
      <c r="P56" s="315">
        <v>-965.53879900000004</v>
      </c>
      <c r="Q56" s="315">
        <v>-1490.730483</v>
      </c>
      <c r="R56" s="315">
        <v>84.951785999999998</v>
      </c>
      <c r="S56" s="315">
        <v>-668.82412099999999</v>
      </c>
      <c r="T56" s="315">
        <v>-1387.831651</v>
      </c>
      <c r="U56" s="315">
        <v>-2114.2221220000001</v>
      </c>
      <c r="V56" s="316">
        <v>-2762.950319</v>
      </c>
    </row>
    <row r="57" spans="2:22" ht="15" thickBot="1" x14ac:dyDescent="0.35">
      <c r="B57" s="239" t="s">
        <v>259</v>
      </c>
      <c r="C57" s="309" t="s">
        <v>291</v>
      </c>
      <c r="D57" s="314">
        <v>-7.3820999999999998E-2</v>
      </c>
      <c r="E57" s="314">
        <v>4.5116999999999997E-2</v>
      </c>
      <c r="F57" s="315">
        <v>0.58073699999999995</v>
      </c>
      <c r="G57" s="315">
        <v>28.512644000000002</v>
      </c>
      <c r="H57" s="315">
        <v>74.906482999999994</v>
      </c>
      <c r="I57" s="315">
        <v>47.587017000000003</v>
      </c>
      <c r="J57" s="315">
        <v>47.844014000000001</v>
      </c>
      <c r="K57" s="315">
        <v>2.3208449999999998</v>
      </c>
      <c r="L57" s="315">
        <v>0</v>
      </c>
      <c r="M57" s="315">
        <v>0.31525599999999998</v>
      </c>
      <c r="N57" s="315">
        <v>-93.284132</v>
      </c>
      <c r="O57" s="315">
        <v>102.31748899999999</v>
      </c>
      <c r="P57" s="315">
        <v>94.269717</v>
      </c>
      <c r="Q57" s="315">
        <v>94.107856999999996</v>
      </c>
      <c r="R57" s="315">
        <v>274</v>
      </c>
      <c r="S57" s="315">
        <v>0.101077</v>
      </c>
      <c r="T57" s="315">
        <v>0.38366099999999997</v>
      </c>
      <c r="U57" s="315">
        <v>-9.7023810000000008</v>
      </c>
      <c r="V57" s="316">
        <v>-69.064835000000002</v>
      </c>
    </row>
    <row r="58" spans="2:22" ht="15" thickTop="1" x14ac:dyDescent="0.3">
      <c r="B58" s="240" t="s">
        <v>101</v>
      </c>
      <c r="C58" s="232" t="s">
        <v>101</v>
      </c>
      <c r="D58" s="317">
        <v>225.54230699999994</v>
      </c>
      <c r="E58" s="317">
        <v>405.91367400000001</v>
      </c>
      <c r="F58" s="318">
        <v>631.59620900000016</v>
      </c>
      <c r="G58" s="318">
        <v>224.14655899999994</v>
      </c>
      <c r="H58" s="318">
        <v>259.67309999999998</v>
      </c>
      <c r="I58" s="318">
        <v>610.73536600000011</v>
      </c>
      <c r="J58" s="318">
        <v>696.23850099999981</v>
      </c>
      <c r="K58" s="318">
        <v>169.98303099999995</v>
      </c>
      <c r="L58" s="318">
        <v>280.46161500000005</v>
      </c>
      <c r="M58" s="318">
        <v>460.32020800000021</v>
      </c>
      <c r="N58" s="318">
        <v>420.96986300000003</v>
      </c>
      <c r="O58" s="318">
        <v>366.28433099999984</v>
      </c>
      <c r="P58" s="318">
        <v>573.77388300000007</v>
      </c>
      <c r="Q58" s="318">
        <v>769.81299399999989</v>
      </c>
      <c r="R58" s="318">
        <v>1033.0811400000002</v>
      </c>
      <c r="S58" s="318">
        <v>153.10122800000008</v>
      </c>
      <c r="T58" s="318">
        <v>266.18600100000043</v>
      </c>
      <c r="U58" s="318">
        <v>403.79452899999984</v>
      </c>
      <c r="V58" s="319">
        <v>552.89521800000068</v>
      </c>
    </row>
    <row r="59" spans="2:22" ht="15" thickBot="1" x14ac:dyDescent="0.35">
      <c r="B59" s="239" t="s">
        <v>285</v>
      </c>
      <c r="C59" s="325" t="s">
        <v>293</v>
      </c>
      <c r="D59" s="320">
        <v>-141.84665053010468</v>
      </c>
      <c r="E59" s="320">
        <v>-286.41107129417361</v>
      </c>
      <c r="F59" s="315">
        <v>-445.97766547854678</v>
      </c>
      <c r="G59" s="315">
        <v>-158.4335076650265</v>
      </c>
      <c r="H59" s="315">
        <v>-369.30169574631947</v>
      </c>
      <c r="I59" s="315">
        <v>-520.55986153741094</v>
      </c>
      <c r="J59" s="315">
        <v>-731.25173141553296</v>
      </c>
      <c r="K59" s="315">
        <v>-157.50818332603927</v>
      </c>
      <c r="L59" s="315">
        <v>-374.36518526391552</v>
      </c>
      <c r="M59" s="315">
        <v>-603.88383941806467</v>
      </c>
      <c r="N59" s="315">
        <v>-869.43517401703593</v>
      </c>
      <c r="O59" s="315">
        <v>-212.52458024994667</v>
      </c>
      <c r="P59" s="315">
        <v>-472.11341686672085</v>
      </c>
      <c r="Q59" s="315">
        <v>-758.96442703949072</v>
      </c>
      <c r="R59" s="315">
        <v>-1072.887015156298</v>
      </c>
      <c r="S59" s="315">
        <v>-290.00384888661932</v>
      </c>
      <c r="T59" s="315">
        <v>-624.51551853522096</v>
      </c>
      <c r="U59" s="315">
        <v>-957.24167469303245</v>
      </c>
      <c r="V59" s="316">
        <v>-1334.5607115855639</v>
      </c>
    </row>
    <row r="60" spans="2:22" ht="15.6" thickTop="1" thickBot="1" x14ac:dyDescent="0.35">
      <c r="B60" s="310" t="s">
        <v>286</v>
      </c>
      <c r="C60" s="326" t="s">
        <v>286</v>
      </c>
      <c r="D60" s="321">
        <v>83.695656469895255</v>
      </c>
      <c r="E60" s="321">
        <v>119.5026027058264</v>
      </c>
      <c r="F60" s="322">
        <v>185.61854352145338</v>
      </c>
      <c r="G60" s="322">
        <v>65.713051334973443</v>
      </c>
      <c r="H60" s="322">
        <v>-109.62859574631949</v>
      </c>
      <c r="I60" s="322">
        <v>90.175504462589174</v>
      </c>
      <c r="J60" s="322">
        <v>-35.013230415533144</v>
      </c>
      <c r="K60" s="322">
        <v>12.474847673960682</v>
      </c>
      <c r="L60" s="322">
        <v>-93.903570263915469</v>
      </c>
      <c r="M60" s="322">
        <v>-143.56363141806446</v>
      </c>
      <c r="N60" s="322">
        <v>-448.4653110170359</v>
      </c>
      <c r="O60" s="322">
        <v>153.75975075005317</v>
      </c>
      <c r="P60" s="322">
        <v>101.66046613327921</v>
      </c>
      <c r="Q60" s="322">
        <v>10.848566960509174</v>
      </c>
      <c r="R60" s="322">
        <v>-39.805875156297816</v>
      </c>
      <c r="S60" s="322">
        <v>-136.90262088661925</v>
      </c>
      <c r="T60" s="322">
        <v>-358.32951753522053</v>
      </c>
      <c r="U60" s="322">
        <v>-553.44714569303255</v>
      </c>
      <c r="V60" s="323">
        <v>-781.66549358556324</v>
      </c>
    </row>
    <row r="61" spans="2:22" ht="9.6" customHeight="1" thickBot="1" x14ac:dyDescent="0.35">
      <c r="B61" s="332"/>
      <c r="C61" s="332"/>
      <c r="D61" s="333"/>
      <c r="E61" s="333"/>
      <c r="F61" s="333"/>
      <c r="G61" s="333"/>
      <c r="H61" s="333"/>
      <c r="I61" s="333"/>
      <c r="J61" s="333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34"/>
    </row>
    <row r="62" spans="2:22" ht="29.4" thickTop="1" x14ac:dyDescent="0.3">
      <c r="B62" s="234" t="s">
        <v>322</v>
      </c>
      <c r="C62" s="248" t="s">
        <v>323</v>
      </c>
      <c r="D62" s="235">
        <v>2022</v>
      </c>
      <c r="E62" s="235">
        <v>2023</v>
      </c>
      <c r="F62" s="236">
        <v>2024</v>
      </c>
    </row>
    <row r="63" spans="2:22" x14ac:dyDescent="0.3">
      <c r="B63" s="238" t="s">
        <v>149</v>
      </c>
      <c r="C63" s="233" t="s">
        <v>294</v>
      </c>
      <c r="D63" s="312">
        <v>1221.6071790000001</v>
      </c>
      <c r="E63" s="312">
        <v>4268.3273939999999</v>
      </c>
      <c r="F63" s="313">
        <v>4909.0625</v>
      </c>
    </row>
    <row r="64" spans="2:22" x14ac:dyDescent="0.3">
      <c r="B64" s="239" t="s">
        <v>278</v>
      </c>
      <c r="C64" s="309" t="s">
        <v>269</v>
      </c>
      <c r="D64" s="315">
        <v>11.276992</v>
      </c>
      <c r="E64" s="315">
        <v>0</v>
      </c>
      <c r="F64" s="316">
        <v>0</v>
      </c>
    </row>
    <row r="65" spans="2:22" x14ac:dyDescent="0.3">
      <c r="B65" s="239" t="s">
        <v>129</v>
      </c>
      <c r="C65" s="309" t="s">
        <v>290</v>
      </c>
      <c r="D65" s="315">
        <v>-1038.5926059999999</v>
      </c>
      <c r="E65" s="315">
        <v>-2715.1674640000001</v>
      </c>
      <c r="F65" s="316">
        <v>-2314.4368129999998</v>
      </c>
    </row>
    <row r="66" spans="2:22" x14ac:dyDescent="0.3">
      <c r="B66" s="239" t="s">
        <v>105</v>
      </c>
      <c r="C66" s="309" t="s">
        <v>292</v>
      </c>
      <c r="D66" s="315">
        <v>-277.95040499999999</v>
      </c>
      <c r="E66" s="315">
        <v>-887.35918000000004</v>
      </c>
      <c r="F66" s="316">
        <v>-1083.546546</v>
      </c>
    </row>
    <row r="67" spans="2:22" ht="15" thickBot="1" x14ac:dyDescent="0.35">
      <c r="B67" s="239" t="s">
        <v>259</v>
      </c>
      <c r="C67" s="309" t="s">
        <v>291</v>
      </c>
      <c r="D67" s="315">
        <v>-36.047739</v>
      </c>
      <c r="E67" s="315">
        <v>69.181099000000003</v>
      </c>
      <c r="F67" s="316">
        <v>47.447305</v>
      </c>
    </row>
    <row r="68" spans="2:22" ht="15" thickTop="1" x14ac:dyDescent="0.3">
      <c r="B68" s="240" t="s">
        <v>101</v>
      </c>
      <c r="C68" s="232" t="s">
        <v>101</v>
      </c>
      <c r="D68" s="318">
        <v>-119.70657899999983</v>
      </c>
      <c r="E68" s="318">
        <v>734.98184899999978</v>
      </c>
      <c r="F68" s="319">
        <v>1558.5264460000001</v>
      </c>
    </row>
    <row r="69" spans="2:22" ht="15" thickBot="1" x14ac:dyDescent="0.35">
      <c r="B69" s="239" t="s">
        <v>285</v>
      </c>
      <c r="C69" s="325" t="s">
        <v>293</v>
      </c>
      <c r="D69" s="315">
        <v>-52.455238660078351</v>
      </c>
      <c r="E69" s="315">
        <v>-307.92021485523162</v>
      </c>
      <c r="F69" s="316">
        <v>-403.56642595516826</v>
      </c>
    </row>
    <row r="70" spans="2:22" ht="15.6" thickTop="1" thickBot="1" x14ac:dyDescent="0.35">
      <c r="B70" s="310" t="s">
        <v>286</v>
      </c>
      <c r="C70" s="326" t="s">
        <v>286</v>
      </c>
      <c r="D70" s="322">
        <v>-172.16181766007819</v>
      </c>
      <c r="E70" s="322">
        <v>427.06163414476816</v>
      </c>
      <c r="F70" s="323">
        <v>1154.9600200448317</v>
      </c>
    </row>
    <row r="71" spans="2:22" ht="7.8" customHeight="1" thickBot="1" x14ac:dyDescent="0.35">
      <c r="D71" s="52"/>
      <c r="E71" s="52"/>
      <c r="F71" s="52"/>
      <c r="G71" s="52"/>
      <c r="H71" s="52"/>
      <c r="I71" s="52"/>
      <c r="J71" s="52"/>
    </row>
    <row r="72" spans="2:22" ht="28.8" x14ac:dyDescent="0.3">
      <c r="B72" s="234" t="s">
        <v>322</v>
      </c>
      <c r="C72" s="248" t="s">
        <v>323</v>
      </c>
      <c r="D72" s="235" t="s">
        <v>190</v>
      </c>
      <c r="E72" s="235" t="s">
        <v>192</v>
      </c>
      <c r="F72" s="235" t="s">
        <v>263</v>
      </c>
      <c r="G72" s="235" t="s">
        <v>284</v>
      </c>
      <c r="H72" s="235" t="s">
        <v>300</v>
      </c>
      <c r="I72" s="235" t="s">
        <v>301</v>
      </c>
      <c r="J72" s="235">
        <v>2021</v>
      </c>
      <c r="K72" s="235" t="s">
        <v>307</v>
      </c>
      <c r="L72" s="235" t="s">
        <v>308</v>
      </c>
      <c r="M72" s="235" t="s">
        <v>309</v>
      </c>
      <c r="N72" s="235">
        <v>2022</v>
      </c>
      <c r="O72" s="235" t="s">
        <v>321</v>
      </c>
      <c r="P72" s="235" t="s">
        <v>324</v>
      </c>
      <c r="Q72" s="235" t="s">
        <v>325</v>
      </c>
      <c r="R72" s="235">
        <v>2023</v>
      </c>
      <c r="S72" s="235" t="s">
        <v>344</v>
      </c>
      <c r="T72" s="235" t="s">
        <v>351</v>
      </c>
      <c r="U72" s="235" t="s">
        <v>353</v>
      </c>
      <c r="V72" s="236">
        <v>2024</v>
      </c>
    </row>
    <row r="73" spans="2:22" x14ac:dyDescent="0.3">
      <c r="B73" s="238" t="s">
        <v>149</v>
      </c>
      <c r="C73" s="233" t="s">
        <v>294</v>
      </c>
      <c r="D73" s="311"/>
      <c r="E73" s="311"/>
      <c r="F73" s="312"/>
      <c r="G73" s="312"/>
      <c r="H73" s="312"/>
      <c r="I73" s="312"/>
      <c r="J73" s="312"/>
      <c r="K73" s="312">
        <v>95.777626999999995</v>
      </c>
      <c r="L73" s="312">
        <v>195.429124</v>
      </c>
      <c r="M73" s="312">
        <v>292.74468300000001</v>
      </c>
      <c r="N73" s="312">
        <v>1221.6071790000001</v>
      </c>
      <c r="O73" s="312">
        <v>927.528008</v>
      </c>
      <c r="P73" s="312">
        <v>2008.4800310000001</v>
      </c>
      <c r="Q73" s="312">
        <v>3102.8683150000002</v>
      </c>
      <c r="R73" s="312">
        <v>4268.3273939999999</v>
      </c>
      <c r="S73" s="312">
        <v>1151.196604</v>
      </c>
      <c r="T73" s="312">
        <v>2365.845292</v>
      </c>
      <c r="U73" s="312">
        <v>3562.6545609999998</v>
      </c>
      <c r="V73" s="313">
        <v>4909.0625</v>
      </c>
    </row>
    <row r="74" spans="2:22" x14ac:dyDescent="0.3">
      <c r="B74" s="239" t="s">
        <v>278</v>
      </c>
      <c r="C74" s="309" t="s">
        <v>269</v>
      </c>
      <c r="D74" s="314"/>
      <c r="E74" s="314"/>
      <c r="F74" s="315"/>
      <c r="G74" s="315"/>
      <c r="H74" s="315"/>
      <c r="I74" s="315"/>
      <c r="J74" s="315"/>
      <c r="K74" s="315">
        <v>0</v>
      </c>
      <c r="L74" s="315"/>
      <c r="M74" s="315"/>
      <c r="N74" s="315">
        <v>11.276992</v>
      </c>
      <c r="O74" s="315">
        <v>0</v>
      </c>
      <c r="P74" s="315"/>
      <c r="Q74" s="315"/>
      <c r="R74" s="315">
        <v>0</v>
      </c>
      <c r="S74" s="315">
        <v>0</v>
      </c>
      <c r="T74" s="315">
        <v>0</v>
      </c>
      <c r="U74" s="315">
        <v>0</v>
      </c>
      <c r="V74" s="316">
        <v>0</v>
      </c>
    </row>
    <row r="75" spans="2:22" x14ac:dyDescent="0.3">
      <c r="B75" s="239" t="s">
        <v>129</v>
      </c>
      <c r="C75" s="309" t="s">
        <v>290</v>
      </c>
      <c r="D75" s="314"/>
      <c r="E75" s="314"/>
      <c r="F75" s="315"/>
      <c r="G75" s="315"/>
      <c r="H75" s="315"/>
      <c r="I75" s="315"/>
      <c r="J75" s="315"/>
      <c r="K75" s="315">
        <v>0</v>
      </c>
      <c r="L75" s="315">
        <v>-160.30794700000001</v>
      </c>
      <c r="M75" s="315">
        <v>-241.15051399999999</v>
      </c>
      <c r="N75" s="315">
        <v>-1038.5926059999999</v>
      </c>
      <c r="O75" s="315">
        <v>-714.09302100000002</v>
      </c>
      <c r="P75" s="315">
        <v>-1572.6339949999999</v>
      </c>
      <c r="Q75" s="315">
        <v>-2241.4952039999998</v>
      </c>
      <c r="R75" s="315">
        <v>-2715.1674640000001</v>
      </c>
      <c r="S75" s="315">
        <v>-460.55578400000002</v>
      </c>
      <c r="T75" s="315">
        <v>-935.84993599999996</v>
      </c>
      <c r="U75" s="315">
        <v>-1518.816971</v>
      </c>
      <c r="V75" s="316">
        <v>-2314.4368129999998</v>
      </c>
    </row>
    <row r="76" spans="2:22" x14ac:dyDescent="0.3">
      <c r="B76" s="239" t="s">
        <v>105</v>
      </c>
      <c r="C76" s="309" t="s">
        <v>292</v>
      </c>
      <c r="D76" s="314"/>
      <c r="E76" s="314"/>
      <c r="F76" s="315"/>
      <c r="G76" s="315"/>
      <c r="H76" s="315"/>
      <c r="I76" s="315"/>
      <c r="J76" s="315"/>
      <c r="K76" s="315">
        <v>-79.308293000000006</v>
      </c>
      <c r="L76" s="315">
        <v>-37.085999000000001</v>
      </c>
      <c r="M76" s="315">
        <v>-62.09986</v>
      </c>
      <c r="N76" s="315">
        <v>-277.95040499999999</v>
      </c>
      <c r="O76" s="315">
        <v>-212.606087</v>
      </c>
      <c r="P76" s="315">
        <v>-424.43449500000003</v>
      </c>
      <c r="Q76" s="315">
        <v>-633.55864199999996</v>
      </c>
      <c r="R76" s="315">
        <v>-887.35918000000004</v>
      </c>
      <c r="S76" s="315">
        <v>-256.48623500000002</v>
      </c>
      <c r="T76" s="315">
        <v>-512.36274100000003</v>
      </c>
      <c r="U76" s="315">
        <v>-764.31908699999997</v>
      </c>
      <c r="V76" s="316">
        <v>-1083.546546</v>
      </c>
    </row>
    <row r="77" spans="2:22" ht="15" thickBot="1" x14ac:dyDescent="0.35">
      <c r="B77" s="239" t="s">
        <v>259</v>
      </c>
      <c r="C77" s="309" t="s">
        <v>291</v>
      </c>
      <c r="D77" s="314"/>
      <c r="E77" s="314"/>
      <c r="F77" s="315"/>
      <c r="G77" s="315"/>
      <c r="H77" s="315"/>
      <c r="I77" s="315"/>
      <c r="J77" s="315"/>
      <c r="K77" s="315">
        <v>-12.129170999999999</v>
      </c>
      <c r="L77" s="315">
        <v>0</v>
      </c>
      <c r="M77" s="315">
        <v>0</v>
      </c>
      <c r="N77" s="315">
        <v>-36.047739</v>
      </c>
      <c r="O77" s="315">
        <v>26.065294000000002</v>
      </c>
      <c r="P77" s="315">
        <v>80.866094000000004</v>
      </c>
      <c r="Q77" s="315">
        <v>84.926334999999995</v>
      </c>
      <c r="R77" s="315">
        <v>69.181099000000003</v>
      </c>
      <c r="S77" s="315">
        <v>9.8432239999999993</v>
      </c>
      <c r="T77" s="315">
        <v>22.063231999999999</v>
      </c>
      <c r="U77" s="315">
        <v>32.471792999999998</v>
      </c>
      <c r="V77" s="316">
        <v>47.447305</v>
      </c>
    </row>
    <row r="78" spans="2:22" ht="15" thickTop="1" x14ac:dyDescent="0.3">
      <c r="B78" s="240" t="s">
        <v>101</v>
      </c>
      <c r="C78" s="232" t="s">
        <v>101</v>
      </c>
      <c r="D78" s="317"/>
      <c r="E78" s="317"/>
      <c r="F78" s="318"/>
      <c r="G78" s="318"/>
      <c r="H78" s="318"/>
      <c r="I78" s="318"/>
      <c r="J78" s="318"/>
      <c r="K78" s="318">
        <v>4.3401629999999898</v>
      </c>
      <c r="L78" s="318">
        <v>-1.9648220000000123</v>
      </c>
      <c r="M78" s="318">
        <v>-10.505690999999977</v>
      </c>
      <c r="N78" s="318">
        <v>-119.70657899999983</v>
      </c>
      <c r="O78" s="318">
        <v>26.894193999999978</v>
      </c>
      <c r="P78" s="318">
        <v>92.277635000000117</v>
      </c>
      <c r="Q78" s="318">
        <v>312.74080400000037</v>
      </c>
      <c r="R78" s="318">
        <v>734.98184899999978</v>
      </c>
      <c r="S78" s="318">
        <v>443.99780899999996</v>
      </c>
      <c r="T78" s="318">
        <v>939.69584699999984</v>
      </c>
      <c r="U78" s="318">
        <v>1311.9902959999997</v>
      </c>
      <c r="V78" s="319">
        <v>1558.5264460000001</v>
      </c>
    </row>
    <row r="79" spans="2:22" ht="15" thickBot="1" x14ac:dyDescent="0.35">
      <c r="B79" s="239" t="s">
        <v>285</v>
      </c>
      <c r="C79" s="325" t="s">
        <v>293</v>
      </c>
      <c r="D79" s="320"/>
      <c r="E79" s="320"/>
      <c r="F79" s="315"/>
      <c r="G79" s="315"/>
      <c r="H79" s="315"/>
      <c r="I79" s="315"/>
      <c r="J79" s="315"/>
      <c r="K79" s="315">
        <v>-18.840225178952611</v>
      </c>
      <c r="L79" s="315">
        <v>-22.311587995815604</v>
      </c>
      <c r="M79" s="315">
        <v>-36.365505685267308</v>
      </c>
      <c r="N79" s="315">
        <v>-52.455238660078351</v>
      </c>
      <c r="O79" s="315">
        <v>-62.760333076343443</v>
      </c>
      <c r="P79" s="315">
        <v>-131.11905076220933</v>
      </c>
      <c r="Q79" s="315">
        <v>-218.60816490927732</v>
      </c>
      <c r="R79" s="315">
        <v>-307.92021485523162</v>
      </c>
      <c r="S79" s="315">
        <v>-81.495166955926493</v>
      </c>
      <c r="T79" s="315">
        <v>-178.44061559096875</v>
      </c>
      <c r="U79" s="315">
        <v>-280.91612249287624</v>
      </c>
      <c r="V79" s="316">
        <v>-403.56642595516826</v>
      </c>
    </row>
    <row r="80" spans="2:22" ht="15.6" thickTop="1" thickBot="1" x14ac:dyDescent="0.35">
      <c r="B80" s="310" t="s">
        <v>286</v>
      </c>
      <c r="C80" s="326" t="s">
        <v>286</v>
      </c>
      <c r="D80" s="321"/>
      <c r="E80" s="321"/>
      <c r="F80" s="322"/>
      <c r="G80" s="322"/>
      <c r="H80" s="322"/>
      <c r="I80" s="322"/>
      <c r="J80" s="322"/>
      <c r="K80" s="322">
        <v>-14.500062178952621</v>
      </c>
      <c r="L80" s="322">
        <v>-24.276409995815616</v>
      </c>
      <c r="M80" s="322">
        <v>-46.871196685267286</v>
      </c>
      <c r="N80" s="322">
        <v>-172.16181766007819</v>
      </c>
      <c r="O80" s="322">
        <v>-35.866139076343465</v>
      </c>
      <c r="P80" s="322">
        <v>-38.841415762209209</v>
      </c>
      <c r="Q80" s="322">
        <v>94.132639090723046</v>
      </c>
      <c r="R80" s="322">
        <v>427.06163414476816</v>
      </c>
      <c r="S80" s="322">
        <v>362.50264204407347</v>
      </c>
      <c r="T80" s="322">
        <v>761.25523140903113</v>
      </c>
      <c r="U80" s="322">
        <v>1031.0741735071235</v>
      </c>
      <c r="V80" s="323">
        <v>1154.9600200448317</v>
      </c>
    </row>
    <row r="81" spans="2:22" ht="14.4" customHeight="1" thickBot="1" x14ac:dyDescent="0.35">
      <c r="B81" s="332"/>
      <c r="C81" s="332"/>
      <c r="D81" s="333"/>
      <c r="E81" s="333"/>
      <c r="F81" s="333"/>
      <c r="G81" s="333"/>
      <c r="H81" s="333"/>
      <c r="I81" s="333"/>
      <c r="J81" s="333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  <c r="V81" s="334"/>
    </row>
    <row r="82" spans="2:22" ht="29.4" thickTop="1" x14ac:dyDescent="0.3">
      <c r="B82" s="234" t="s">
        <v>288</v>
      </c>
      <c r="C82" s="248" t="s">
        <v>296</v>
      </c>
      <c r="D82" s="235">
        <v>2016</v>
      </c>
      <c r="E82" s="235">
        <v>2017</v>
      </c>
      <c r="F82" s="235">
        <v>2018</v>
      </c>
      <c r="G82" s="235">
        <v>2019</v>
      </c>
      <c r="H82" s="235">
        <v>2020</v>
      </c>
      <c r="I82" s="235">
        <v>2021</v>
      </c>
      <c r="J82" s="235">
        <v>2022</v>
      </c>
      <c r="K82" s="235">
        <v>2023</v>
      </c>
      <c r="L82" s="236">
        <v>2024</v>
      </c>
    </row>
    <row r="83" spans="2:22" x14ac:dyDescent="0.3">
      <c r="B83" s="238" t="s">
        <v>149</v>
      </c>
      <c r="C83" s="233" t="s">
        <v>294</v>
      </c>
      <c r="D83" s="335">
        <v>3091.856252</v>
      </c>
      <c r="E83" s="335">
        <v>5120.8255200000003</v>
      </c>
      <c r="F83" s="335">
        <v>6943.4890000000005</v>
      </c>
      <c r="G83" s="335">
        <v>9901.4330000000009</v>
      </c>
      <c r="H83" s="312">
        <v>11997.630348999999</v>
      </c>
      <c r="I83" s="312">
        <v>16369.622267999999</v>
      </c>
      <c r="J83" s="312">
        <v>24938.509277000001</v>
      </c>
      <c r="K83" s="312">
        <v>18040.986250999998</v>
      </c>
      <c r="L83" s="313">
        <v>37608.756977999998</v>
      </c>
    </row>
    <row r="84" spans="2:22" x14ac:dyDescent="0.3">
      <c r="B84" s="239" t="s">
        <v>278</v>
      </c>
      <c r="C84" s="309" t="s">
        <v>269</v>
      </c>
      <c r="D84" s="315"/>
      <c r="E84" s="315"/>
      <c r="F84" s="315"/>
      <c r="G84" s="315"/>
      <c r="H84" s="315">
        <v>0</v>
      </c>
      <c r="I84" s="315">
        <v>0</v>
      </c>
      <c r="J84" s="315">
        <v>0</v>
      </c>
      <c r="K84" s="315">
        <v>0</v>
      </c>
      <c r="L84" s="316">
        <v>0.31640000000000001</v>
      </c>
    </row>
    <row r="85" spans="2:22" x14ac:dyDescent="0.3">
      <c r="B85" s="239" t="s">
        <v>129</v>
      </c>
      <c r="C85" s="309" t="s">
        <v>290</v>
      </c>
      <c r="D85" s="315"/>
      <c r="E85" s="315"/>
      <c r="F85" s="315">
        <v>-6625.7435009999999</v>
      </c>
      <c r="G85" s="315">
        <v>-9243.950073</v>
      </c>
      <c r="H85" s="315">
        <v>-11616.009585</v>
      </c>
      <c r="I85" s="315">
        <v>-14690.036787999999</v>
      </c>
      <c r="J85" s="315">
        <v>-22202.258065000002</v>
      </c>
      <c r="K85" s="315">
        <v>-14086.042659999999</v>
      </c>
      <c r="L85" s="316">
        <v>-33036.220006000003</v>
      </c>
    </row>
    <row r="86" spans="2:22" x14ac:dyDescent="0.3">
      <c r="B86" s="239" t="s">
        <v>105</v>
      </c>
      <c r="C86" s="309" t="s">
        <v>292</v>
      </c>
      <c r="D86" s="314"/>
      <c r="E86" s="314"/>
      <c r="F86" s="315">
        <v>-53.205722000000002</v>
      </c>
      <c r="G86" s="315">
        <v>-78.573042000000001</v>
      </c>
      <c r="H86" s="315">
        <v>-100.72804099999999</v>
      </c>
      <c r="I86" s="315">
        <v>-113.629874</v>
      </c>
      <c r="J86" s="315">
        <v>-166.72913</v>
      </c>
      <c r="K86" s="315">
        <v>-192.126991</v>
      </c>
      <c r="L86" s="316">
        <v>-182.973895</v>
      </c>
    </row>
    <row r="87" spans="2:22" ht="15" thickBot="1" x14ac:dyDescent="0.35">
      <c r="B87" s="239" t="s">
        <v>259</v>
      </c>
      <c r="C87" s="309" t="s">
        <v>291</v>
      </c>
      <c r="D87" s="314"/>
      <c r="E87" s="314"/>
      <c r="F87" s="315">
        <v>18.060008</v>
      </c>
      <c r="G87" s="315">
        <v>5.6130319999999996</v>
      </c>
      <c r="H87" s="315">
        <v>4.7089590000000001</v>
      </c>
      <c r="I87" s="315">
        <v>-154.35771099999999</v>
      </c>
      <c r="J87" s="315">
        <v>33.000445999999997</v>
      </c>
      <c r="K87" s="315">
        <v>338.88511499999998</v>
      </c>
      <c r="L87" s="316">
        <v>-198.92825099999999</v>
      </c>
    </row>
    <row r="88" spans="2:22" ht="15" thickTop="1" x14ac:dyDescent="0.3">
      <c r="B88" s="240" t="s">
        <v>101</v>
      </c>
      <c r="C88" s="232" t="s">
        <v>101</v>
      </c>
      <c r="D88" s="317">
        <v>125.60722099999975</v>
      </c>
      <c r="E88" s="317">
        <v>-141.17447999999968</v>
      </c>
      <c r="F88" s="318">
        <v>282.48899999999958</v>
      </c>
      <c r="G88" s="318">
        <v>584.52300100000025</v>
      </c>
      <c r="H88" s="318">
        <v>285.60168200000044</v>
      </c>
      <c r="I88" s="318">
        <v>1411.5978949999999</v>
      </c>
      <c r="J88" s="318">
        <v>2602.5225279999991</v>
      </c>
      <c r="K88" s="318">
        <v>4101.7017149999992</v>
      </c>
      <c r="L88" s="319">
        <v>4190.9512259999974</v>
      </c>
    </row>
    <row r="89" spans="2:22" ht="15" thickBot="1" x14ac:dyDescent="0.35">
      <c r="B89" s="239" t="s">
        <v>285</v>
      </c>
      <c r="C89" s="325" t="s">
        <v>293</v>
      </c>
      <c r="D89" s="320"/>
      <c r="E89" s="320"/>
      <c r="F89" s="315"/>
      <c r="G89" s="315"/>
      <c r="H89" s="315"/>
      <c r="I89" s="315">
        <v>-133.31568106108409</v>
      </c>
      <c r="J89" s="315">
        <v>-141.9265667324218</v>
      </c>
      <c r="K89" s="315">
        <v>-144.40839689436376</v>
      </c>
      <c r="L89" s="316">
        <v>-191.70330280021011</v>
      </c>
    </row>
    <row r="90" spans="2:22" ht="15.6" thickTop="1" thickBot="1" x14ac:dyDescent="0.35">
      <c r="B90" s="310" t="s">
        <v>286</v>
      </c>
      <c r="C90" s="326" t="s">
        <v>286</v>
      </c>
      <c r="D90" s="321"/>
      <c r="E90" s="321"/>
      <c r="F90" s="322"/>
      <c r="G90" s="322"/>
      <c r="H90" s="322"/>
      <c r="I90" s="322">
        <v>1278.2822139389159</v>
      </c>
      <c r="J90" s="322">
        <v>2460.5959612675774</v>
      </c>
      <c r="K90" s="322">
        <v>3957.2933181056355</v>
      </c>
      <c r="L90" s="323">
        <v>3999.2479231997872</v>
      </c>
    </row>
    <row r="91" spans="2:22" ht="9.6" customHeight="1" thickBot="1" x14ac:dyDescent="0.35"/>
    <row r="92" spans="2:22" ht="28.8" x14ac:dyDescent="0.3">
      <c r="B92" s="234" t="s">
        <v>288</v>
      </c>
      <c r="C92" s="248" t="s">
        <v>296</v>
      </c>
      <c r="D92" s="235" t="s">
        <v>190</v>
      </c>
      <c r="E92" s="235" t="s">
        <v>192</v>
      </c>
      <c r="F92" s="235" t="s">
        <v>263</v>
      </c>
      <c r="G92" s="235" t="s">
        <v>284</v>
      </c>
      <c r="H92" s="235" t="s">
        <v>300</v>
      </c>
      <c r="I92" s="235" t="s">
        <v>301</v>
      </c>
      <c r="J92" s="235">
        <v>2021</v>
      </c>
      <c r="K92" s="235" t="s">
        <v>307</v>
      </c>
      <c r="L92" s="235" t="s">
        <v>308</v>
      </c>
      <c r="M92" s="235" t="s">
        <v>309</v>
      </c>
      <c r="N92" s="235">
        <v>2022</v>
      </c>
      <c r="O92" s="235" t="s">
        <v>321</v>
      </c>
      <c r="P92" s="235" t="s">
        <v>324</v>
      </c>
      <c r="Q92" s="235" t="s">
        <v>325</v>
      </c>
      <c r="R92" s="235">
        <v>2023</v>
      </c>
      <c r="S92" s="235" t="s">
        <v>344</v>
      </c>
      <c r="T92" s="235" t="s">
        <v>351</v>
      </c>
      <c r="U92" s="235" t="s">
        <v>353</v>
      </c>
      <c r="V92" s="236">
        <v>2024</v>
      </c>
    </row>
    <row r="93" spans="2:22" x14ac:dyDescent="0.3">
      <c r="B93" s="238" t="s">
        <v>149</v>
      </c>
      <c r="C93" s="233" t="s">
        <v>294</v>
      </c>
      <c r="D93" s="311">
        <v>3446.5788940000002</v>
      </c>
      <c r="E93" s="311">
        <v>5652.4070730000003</v>
      </c>
      <c r="F93" s="312">
        <v>8533.2410319999999</v>
      </c>
      <c r="G93" s="312">
        <v>3819.4063289999999</v>
      </c>
      <c r="H93" s="312">
        <v>6839.2956240000003</v>
      </c>
      <c r="I93" s="312">
        <v>10294.869287</v>
      </c>
      <c r="J93" s="312">
        <v>16369.622267999999</v>
      </c>
      <c r="K93" s="312">
        <v>6178.7807620000003</v>
      </c>
      <c r="L93" s="312">
        <v>11090.861408000001</v>
      </c>
      <c r="M93" s="312">
        <v>18970.596260999999</v>
      </c>
      <c r="N93" s="312">
        <v>24938.509277000001</v>
      </c>
      <c r="O93" s="312">
        <v>5738.9453149999999</v>
      </c>
      <c r="P93" s="312">
        <v>9531.6329409999998</v>
      </c>
      <c r="Q93" s="312">
        <v>13191.001147000001</v>
      </c>
      <c r="R93" s="312">
        <v>18040.986250999998</v>
      </c>
      <c r="S93" s="312">
        <v>9377.1757199999993</v>
      </c>
      <c r="T93" s="312">
        <v>17179.476452999999</v>
      </c>
      <c r="U93" s="312">
        <v>26520.392687</v>
      </c>
      <c r="V93" s="313">
        <v>37608.756977999998</v>
      </c>
    </row>
    <row r="94" spans="2:22" x14ac:dyDescent="0.3">
      <c r="B94" s="239" t="s">
        <v>278</v>
      </c>
      <c r="C94" s="309" t="s">
        <v>269</v>
      </c>
      <c r="D94" s="314">
        <v>0</v>
      </c>
      <c r="E94" s="314">
        <v>0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5">
        <v>0</v>
      </c>
      <c r="Q94" s="315">
        <v>0</v>
      </c>
      <c r="R94" s="315">
        <v>0</v>
      </c>
      <c r="S94" s="315">
        <v>0</v>
      </c>
      <c r="T94" s="315">
        <v>0</v>
      </c>
      <c r="U94" s="315">
        <v>0</v>
      </c>
      <c r="V94" s="316">
        <v>0.31640000000000001</v>
      </c>
    </row>
    <row r="95" spans="2:22" x14ac:dyDescent="0.3">
      <c r="B95" s="239" t="s">
        <v>129</v>
      </c>
      <c r="C95" s="309" t="s">
        <v>290</v>
      </c>
      <c r="D95" s="314">
        <v>-3310.1555400000002</v>
      </c>
      <c r="E95" s="314">
        <v>-5524.5504659999997</v>
      </c>
      <c r="F95" s="315">
        <v>-8219.1203619999997</v>
      </c>
      <c r="G95" s="315">
        <v>-3560.556321</v>
      </c>
      <c r="H95" s="315">
        <v>-6347.0310810000001</v>
      </c>
      <c r="I95" s="315">
        <v>-9335.2896970000002</v>
      </c>
      <c r="J95" s="315">
        <v>-14690.036787999999</v>
      </c>
      <c r="K95" s="315">
        <v>-5589.5161680000001</v>
      </c>
      <c r="L95" s="315">
        <v>-9837.9922989999995</v>
      </c>
      <c r="M95" s="315">
        <v>-17152.540475999998</v>
      </c>
      <c r="N95" s="315">
        <v>-22202.258065000002</v>
      </c>
      <c r="O95" s="315">
        <v>-4415.9450429999997</v>
      </c>
      <c r="P95" s="315">
        <v>-7306.6733260000001</v>
      </c>
      <c r="Q95" s="315">
        <v>-10017.787534999999</v>
      </c>
      <c r="R95" s="315">
        <v>-14086.042659999999</v>
      </c>
      <c r="S95" s="315">
        <v>-8250.8006679999999</v>
      </c>
      <c r="T95" s="315">
        <v>-14913.948187</v>
      </c>
      <c r="U95" s="315">
        <v>-23142.190315</v>
      </c>
      <c r="V95" s="316">
        <v>-33036.220006000003</v>
      </c>
    </row>
    <row r="96" spans="2:22" x14ac:dyDescent="0.3">
      <c r="B96" s="239" t="s">
        <v>105</v>
      </c>
      <c r="C96" s="309" t="s">
        <v>292</v>
      </c>
      <c r="D96" s="314">
        <v>-24.565386</v>
      </c>
      <c r="E96" s="314">
        <v>-49.268940000000001</v>
      </c>
      <c r="F96" s="315">
        <v>-74.319208000000003</v>
      </c>
      <c r="G96" s="315">
        <v>-23.102269</v>
      </c>
      <c r="H96" s="315">
        <v>-57.071241000000001</v>
      </c>
      <c r="I96" s="315">
        <v>-86.466801000000004</v>
      </c>
      <c r="J96" s="315">
        <v>-113.629874</v>
      </c>
      <c r="K96" s="315">
        <v>-28.380731000000001</v>
      </c>
      <c r="L96" s="315">
        <v>-64.657250000000005</v>
      </c>
      <c r="M96" s="315">
        <v>-127.176942</v>
      </c>
      <c r="N96" s="315">
        <v>-166.72913</v>
      </c>
      <c r="O96" s="315">
        <v>-30.875312000000001</v>
      </c>
      <c r="P96" s="315">
        <v>-79.573930000000004</v>
      </c>
      <c r="Q96" s="315">
        <v>-158.26747</v>
      </c>
      <c r="R96" s="315">
        <v>-192.126991</v>
      </c>
      <c r="S96" s="315">
        <v>-37.628193000000003</v>
      </c>
      <c r="T96" s="315">
        <v>-86.977862000000002</v>
      </c>
      <c r="U96" s="315">
        <v>-133.79982000000001</v>
      </c>
      <c r="V96" s="316">
        <v>-182.973895</v>
      </c>
    </row>
    <row r="97" spans="2:22" ht="15" thickBot="1" x14ac:dyDescent="0.35">
      <c r="B97" s="239" t="s">
        <v>259</v>
      </c>
      <c r="C97" s="309" t="s">
        <v>291</v>
      </c>
      <c r="D97" s="314">
        <v>-0.87495999999999996</v>
      </c>
      <c r="E97" s="314">
        <v>28.220193999999999</v>
      </c>
      <c r="F97" s="315">
        <v>50.075854999999997</v>
      </c>
      <c r="G97" s="315">
        <v>20.820058</v>
      </c>
      <c r="H97" s="315">
        <v>23.594391000000002</v>
      </c>
      <c r="I97" s="315">
        <v>-13.341226000000001</v>
      </c>
      <c r="J97" s="315">
        <v>-154.35771099999999</v>
      </c>
      <c r="K97" s="315">
        <v>-18.932337</v>
      </c>
      <c r="L97" s="315">
        <v>-47.092998000000001</v>
      </c>
      <c r="M97" s="315">
        <v>-72.876675000000006</v>
      </c>
      <c r="N97" s="315">
        <v>33.000445999999997</v>
      </c>
      <c r="O97" s="315">
        <v>-88.655186</v>
      </c>
      <c r="P97" s="315">
        <v>78.752695000000003</v>
      </c>
      <c r="Q97" s="315">
        <v>167.59151900000001</v>
      </c>
      <c r="R97" s="315">
        <v>338.88511499999998</v>
      </c>
      <c r="S97" s="315">
        <v>-22.882339000000002</v>
      </c>
      <c r="T97" s="315">
        <v>-237.500215</v>
      </c>
      <c r="U97" s="315">
        <v>-289.34204799999998</v>
      </c>
      <c r="V97" s="316">
        <v>-198.92825099999999</v>
      </c>
    </row>
    <row r="98" spans="2:22" ht="15" thickTop="1" x14ac:dyDescent="0.3">
      <c r="B98" s="240" t="s">
        <v>101</v>
      </c>
      <c r="C98" s="232" t="s">
        <v>101</v>
      </c>
      <c r="D98" s="317">
        <v>110.98300800000001</v>
      </c>
      <c r="E98" s="317">
        <v>106.80786100000063</v>
      </c>
      <c r="F98" s="318">
        <v>289.87731700000023</v>
      </c>
      <c r="G98" s="318">
        <v>256.56779699999987</v>
      </c>
      <c r="H98" s="318">
        <v>458.78769300000022</v>
      </c>
      <c r="I98" s="318">
        <v>859.77156299999933</v>
      </c>
      <c r="J98" s="318">
        <v>1411.5978949999999</v>
      </c>
      <c r="K98" s="318">
        <v>541.95152600000029</v>
      </c>
      <c r="L98" s="318">
        <v>1141.1188610000011</v>
      </c>
      <c r="M98" s="318">
        <v>1618.0021680000004</v>
      </c>
      <c r="N98" s="318">
        <v>2602.5225279999991</v>
      </c>
      <c r="O98" s="318">
        <v>1203.4697740000004</v>
      </c>
      <c r="P98" s="318">
        <v>2224.1383799999999</v>
      </c>
      <c r="Q98" s="318">
        <v>3182.5376610000017</v>
      </c>
      <c r="R98" s="318">
        <v>4101.7017149999992</v>
      </c>
      <c r="S98" s="318">
        <v>1065.8645199999994</v>
      </c>
      <c r="T98" s="318">
        <v>1941.0501889999991</v>
      </c>
      <c r="U98" s="318">
        <v>2955.0605039999996</v>
      </c>
      <c r="V98" s="319">
        <v>4190.9512259999974</v>
      </c>
    </row>
    <row r="99" spans="2:22" ht="15" thickBot="1" x14ac:dyDescent="0.35">
      <c r="B99" s="239" t="s">
        <v>285</v>
      </c>
      <c r="C99" s="325" t="s">
        <v>293</v>
      </c>
      <c r="D99" s="320">
        <v>-29.784254693310583</v>
      </c>
      <c r="E99" s="320">
        <v>-61.762972540816776</v>
      </c>
      <c r="F99" s="315">
        <v>-91.848638435727452</v>
      </c>
      <c r="G99" s="315">
        <v>-32.585683672449562</v>
      </c>
      <c r="H99" s="315">
        <v>-68.389103756082392</v>
      </c>
      <c r="I99" s="315">
        <v>-96.541944676630592</v>
      </c>
      <c r="J99" s="315">
        <v>-133.31568106108409</v>
      </c>
      <c r="K99" s="315">
        <v>-25.112034076137064</v>
      </c>
      <c r="L99" s="315">
        <v>-59.471210818721069</v>
      </c>
      <c r="M99" s="315">
        <v>-97.584470778415266</v>
      </c>
      <c r="N99" s="315">
        <v>-141.9265667324218</v>
      </c>
      <c r="O99" s="315">
        <v>-30.962122145228911</v>
      </c>
      <c r="P99" s="315">
        <v>-63.690877052626348</v>
      </c>
      <c r="Q99" s="315">
        <v>-101.53396643111262</v>
      </c>
      <c r="R99" s="315">
        <v>-144.40839689436376</v>
      </c>
      <c r="S99" s="315">
        <v>-41.750101132543136</v>
      </c>
      <c r="T99" s="315">
        <v>-89.873864544413209</v>
      </c>
      <c r="U99" s="315">
        <v>-137.71146022166039</v>
      </c>
      <c r="V99" s="316">
        <v>-191.70330280021011</v>
      </c>
    </row>
    <row r="100" spans="2:22" ht="15.6" thickTop="1" thickBot="1" x14ac:dyDescent="0.35">
      <c r="B100" s="310" t="s">
        <v>286</v>
      </c>
      <c r="C100" s="326" t="s">
        <v>286</v>
      </c>
      <c r="D100" s="321">
        <v>81.198753306689426</v>
      </c>
      <c r="E100" s="321">
        <v>45.044888459183852</v>
      </c>
      <c r="F100" s="322">
        <v>198.02867856427278</v>
      </c>
      <c r="G100" s="322">
        <v>223.98211332755031</v>
      </c>
      <c r="H100" s="322">
        <v>390.39858924391785</v>
      </c>
      <c r="I100" s="322">
        <v>763.22961832336875</v>
      </c>
      <c r="J100" s="322">
        <v>1278.2822139389159</v>
      </c>
      <c r="K100" s="322">
        <v>516.83949192386319</v>
      </c>
      <c r="L100" s="322">
        <v>1081.6476501812799</v>
      </c>
      <c r="M100" s="322">
        <v>1520.4176972215851</v>
      </c>
      <c r="N100" s="322">
        <v>2460.5959612675774</v>
      </c>
      <c r="O100" s="322">
        <v>1172.5076518547714</v>
      </c>
      <c r="P100" s="322">
        <v>2160.4475029473733</v>
      </c>
      <c r="Q100" s="322">
        <v>3081.0036945688889</v>
      </c>
      <c r="R100" s="322">
        <v>3957.2933181056355</v>
      </c>
      <c r="S100" s="322">
        <v>1024.1144188674562</v>
      </c>
      <c r="T100" s="322">
        <v>1851.1763244555859</v>
      </c>
      <c r="U100" s="322">
        <v>2817.3490437783394</v>
      </c>
      <c r="V100" s="323">
        <v>3999.2479231997872</v>
      </c>
    </row>
    <row r="101" spans="2:22" ht="18.600000000000001" customHeight="1" thickBot="1" x14ac:dyDescent="0.35">
      <c r="B101" s="332"/>
      <c r="C101" s="332"/>
      <c r="D101" s="333"/>
      <c r="E101" s="333"/>
      <c r="F101" s="333"/>
      <c r="G101" s="333"/>
      <c r="H101" s="333"/>
      <c r="I101" s="333"/>
      <c r="J101" s="333"/>
      <c r="K101" s="334"/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</row>
    <row r="102" spans="2:22" ht="12" customHeight="1" thickTop="1" thickBot="1" x14ac:dyDescent="0.35">
      <c r="B102" s="358"/>
      <c r="C102" s="358"/>
      <c r="D102" s="359"/>
      <c r="E102" s="359"/>
      <c r="F102" s="359"/>
      <c r="G102" s="359"/>
      <c r="H102" s="359"/>
      <c r="I102" s="359"/>
      <c r="J102" s="359"/>
      <c r="K102" s="360"/>
      <c r="L102" s="360"/>
      <c r="M102" s="360"/>
      <c r="N102" s="360"/>
      <c r="O102" s="360"/>
      <c r="P102" s="360"/>
      <c r="Q102" s="360"/>
      <c r="R102" s="360"/>
      <c r="S102" s="360"/>
      <c r="T102" s="360"/>
      <c r="U102" s="360"/>
      <c r="V102" s="360"/>
    </row>
    <row r="103" spans="2:22" x14ac:dyDescent="0.3">
      <c r="B103" s="234" t="s">
        <v>289</v>
      </c>
      <c r="C103" s="248" t="s">
        <v>297</v>
      </c>
      <c r="D103" s="235">
        <v>2016</v>
      </c>
      <c r="E103" s="235">
        <v>2017</v>
      </c>
      <c r="F103" s="235">
        <v>2018</v>
      </c>
      <c r="G103" s="235">
        <v>2019</v>
      </c>
      <c r="H103" s="235">
        <v>2020</v>
      </c>
      <c r="I103" s="235">
        <v>2021</v>
      </c>
      <c r="J103" s="235">
        <v>2022</v>
      </c>
      <c r="K103" s="235">
        <v>2023</v>
      </c>
      <c r="L103" s="236">
        <v>2024</v>
      </c>
    </row>
    <row r="104" spans="2:22" x14ac:dyDescent="0.3">
      <c r="B104" s="238" t="s">
        <v>149</v>
      </c>
      <c r="C104" s="336" t="s">
        <v>294</v>
      </c>
      <c r="D104" s="311">
        <v>729.72434799999996</v>
      </c>
      <c r="E104" s="311">
        <v>346</v>
      </c>
      <c r="F104" s="311">
        <v>346.964</v>
      </c>
      <c r="G104" s="311">
        <v>416.06600000000003</v>
      </c>
      <c r="H104" s="311">
        <v>455.00343099999998</v>
      </c>
      <c r="I104" s="311">
        <v>0</v>
      </c>
      <c r="J104" s="312">
        <v>0.368699</v>
      </c>
      <c r="K104" s="312">
        <v>5</v>
      </c>
      <c r="L104" s="313">
        <v>0.21835599999999999</v>
      </c>
    </row>
    <row r="105" spans="2:22" x14ac:dyDescent="0.3">
      <c r="B105" s="239" t="s">
        <v>278</v>
      </c>
      <c r="C105" s="337" t="s">
        <v>269</v>
      </c>
      <c r="D105" s="314"/>
      <c r="E105" s="314"/>
      <c r="F105" s="315">
        <v>0.20433699999999999</v>
      </c>
      <c r="G105" s="315">
        <v>0</v>
      </c>
      <c r="H105" s="315">
        <v>0</v>
      </c>
      <c r="I105" s="315">
        <v>0</v>
      </c>
      <c r="J105" s="315">
        <v>0</v>
      </c>
      <c r="K105" s="315">
        <v>0</v>
      </c>
      <c r="L105" s="316">
        <v>5.272899999999936E-2</v>
      </c>
    </row>
    <row r="106" spans="2:22" x14ac:dyDescent="0.3">
      <c r="B106" s="239" t="s">
        <v>129</v>
      </c>
      <c r="C106" s="337" t="s">
        <v>290</v>
      </c>
      <c r="D106" s="314"/>
      <c r="E106" s="314"/>
      <c r="F106" s="314">
        <v>-545.43949399999997</v>
      </c>
      <c r="G106" s="314">
        <v>-562.53912200000002</v>
      </c>
      <c r="H106" s="314">
        <v>-614.62636399999997</v>
      </c>
      <c r="I106" s="314">
        <v>-261.00446799999997</v>
      </c>
      <c r="J106" s="315">
        <v>-323.10048999999992</v>
      </c>
      <c r="K106" s="315">
        <v>-737.17296700000009</v>
      </c>
      <c r="L106" s="316">
        <v>-981.73185100000001</v>
      </c>
    </row>
    <row r="107" spans="2:22" x14ac:dyDescent="0.3">
      <c r="B107" s="239" t="s">
        <v>105</v>
      </c>
      <c r="C107" s="337" t="s">
        <v>292</v>
      </c>
      <c r="D107" s="314"/>
      <c r="E107" s="314"/>
      <c r="F107" s="314">
        <v>-800.27737200000001</v>
      </c>
      <c r="G107" s="314">
        <v>-833.96138099999996</v>
      </c>
      <c r="H107" s="314">
        <v>-954.87623699999995</v>
      </c>
      <c r="I107" s="314">
        <v>-698.94786199999987</v>
      </c>
      <c r="J107" s="315">
        <v>-716.88813200000004</v>
      </c>
      <c r="K107" s="315">
        <v>-1007.6235479999998</v>
      </c>
      <c r="L107" s="316">
        <v>-1763.6112909999997</v>
      </c>
    </row>
    <row r="108" spans="2:22" ht="15" thickBot="1" x14ac:dyDescent="0.35">
      <c r="B108" s="239" t="s">
        <v>259</v>
      </c>
      <c r="C108" s="337" t="s">
        <v>291</v>
      </c>
      <c r="D108" s="314"/>
      <c r="E108" s="314"/>
      <c r="F108" s="314">
        <v>-10.379951</v>
      </c>
      <c r="G108" s="314">
        <v>-10.551583000000001</v>
      </c>
      <c r="H108" s="314">
        <v>-7.5942430000000005</v>
      </c>
      <c r="I108" s="314">
        <v>4</v>
      </c>
      <c r="J108" s="315">
        <v>-8.3776060000000001</v>
      </c>
      <c r="K108" s="315">
        <v>-151.563039</v>
      </c>
      <c r="L108" s="316">
        <v>-44.745972000000002</v>
      </c>
    </row>
    <row r="109" spans="2:22" ht="15.6" thickTop="1" thickBot="1" x14ac:dyDescent="0.35">
      <c r="B109" s="310" t="s">
        <v>101</v>
      </c>
      <c r="C109" s="338" t="s">
        <v>101</v>
      </c>
      <c r="D109" s="321">
        <v>-119.12170499999999</v>
      </c>
      <c r="E109" s="321">
        <v>-241.403603</v>
      </c>
      <c r="F109" s="321">
        <v>-380.65499500000004</v>
      </c>
      <c r="G109" s="321">
        <v>-182.146931</v>
      </c>
      <c r="H109" s="321">
        <v>-465.86027399999995</v>
      </c>
      <c r="I109" s="321">
        <v>-956.44179199999996</v>
      </c>
      <c r="J109" s="321">
        <v>-1047.997529</v>
      </c>
      <c r="K109" s="321">
        <f>+SUM(K104:K108)</f>
        <v>-1891.3595540000001</v>
      </c>
      <c r="L109" s="340">
        <v>-2789.818029</v>
      </c>
    </row>
    <row r="110" spans="2:22" ht="9" customHeight="1" thickBot="1" x14ac:dyDescent="0.35">
      <c r="B110" s="237"/>
      <c r="D110" s="52"/>
      <c r="E110" s="52"/>
      <c r="F110" s="52"/>
      <c r="G110" s="52"/>
      <c r="H110" s="52"/>
      <c r="I110" s="52"/>
      <c r="J110" s="52"/>
    </row>
    <row r="111" spans="2:22" x14ac:dyDescent="0.3">
      <c r="B111" s="234" t="s">
        <v>289</v>
      </c>
      <c r="C111" s="248" t="s">
        <v>297</v>
      </c>
      <c r="D111" s="235" t="s">
        <v>190</v>
      </c>
      <c r="E111" s="235" t="s">
        <v>192</v>
      </c>
      <c r="F111" s="235" t="s">
        <v>263</v>
      </c>
      <c r="G111" s="235" t="s">
        <v>284</v>
      </c>
      <c r="H111" s="235" t="s">
        <v>300</v>
      </c>
      <c r="I111" s="235" t="s">
        <v>301</v>
      </c>
      <c r="J111" s="235">
        <v>2021</v>
      </c>
      <c r="K111" s="235" t="s">
        <v>307</v>
      </c>
      <c r="L111" s="235" t="s">
        <v>308</v>
      </c>
      <c r="M111" s="235" t="s">
        <v>309</v>
      </c>
      <c r="N111" s="235">
        <f>+N92</f>
        <v>2022</v>
      </c>
      <c r="O111" s="235" t="s">
        <v>321</v>
      </c>
      <c r="P111" s="235" t="s">
        <v>324</v>
      </c>
      <c r="Q111" s="235" t="s">
        <v>325</v>
      </c>
      <c r="R111" s="235">
        <v>2023</v>
      </c>
      <c r="S111" s="235" t="s">
        <v>344</v>
      </c>
      <c r="T111" s="235" t="s">
        <v>351</v>
      </c>
      <c r="U111" s="235" t="s">
        <v>353</v>
      </c>
      <c r="V111" s="236">
        <v>2024</v>
      </c>
    </row>
    <row r="112" spans="2:22" x14ac:dyDescent="0.3">
      <c r="B112" s="238" t="s">
        <v>149</v>
      </c>
      <c r="C112" s="233" t="s">
        <v>294</v>
      </c>
      <c r="D112" s="311">
        <v>0</v>
      </c>
      <c r="E112" s="311">
        <v>0</v>
      </c>
      <c r="F112" s="311">
        <v>0</v>
      </c>
      <c r="G112" s="311">
        <v>8.7379999999999999E-2</v>
      </c>
      <c r="H112" s="311">
        <v>0.13664000000000001</v>
      </c>
      <c r="I112" s="311">
        <v>0.59774499999999997</v>
      </c>
      <c r="J112" s="311">
        <v>0</v>
      </c>
      <c r="K112" s="311">
        <v>0.104253</v>
      </c>
      <c r="L112" s="312">
        <v>0</v>
      </c>
      <c r="M112" s="312">
        <v>0.172315</v>
      </c>
      <c r="N112" s="312">
        <v>0.368699</v>
      </c>
      <c r="O112" s="312">
        <v>3.030497</v>
      </c>
      <c r="P112" s="312">
        <v>3.0563179999999996</v>
      </c>
      <c r="Q112" s="312">
        <v>4.876233</v>
      </c>
      <c r="R112" s="312">
        <v>5</v>
      </c>
      <c r="S112" s="312">
        <v>0.41835699999999998</v>
      </c>
      <c r="T112" s="312">
        <v>3.868357</v>
      </c>
      <c r="U112" s="312">
        <v>0.21835599999999999</v>
      </c>
      <c r="V112" s="313">
        <v>0.21835599999999999</v>
      </c>
    </row>
    <row r="113" spans="2:22" x14ac:dyDescent="0.3">
      <c r="B113" s="239" t="s">
        <v>278</v>
      </c>
      <c r="C113" s="309" t="s">
        <v>269</v>
      </c>
      <c r="D113" s="314">
        <v>8.0345E-2</v>
      </c>
      <c r="E113" s="314">
        <v>9.4635999999999998E-2</v>
      </c>
      <c r="F113" s="314">
        <v>0.20433699999999999</v>
      </c>
      <c r="G113" s="314">
        <v>0</v>
      </c>
      <c r="H113" s="314">
        <v>0</v>
      </c>
      <c r="I113" s="314">
        <v>0</v>
      </c>
      <c r="J113" s="314">
        <v>0</v>
      </c>
      <c r="K113" s="314">
        <v>0</v>
      </c>
      <c r="L113" s="315">
        <v>0</v>
      </c>
      <c r="M113" s="315">
        <v>0</v>
      </c>
      <c r="N113" s="315">
        <v>0</v>
      </c>
      <c r="O113" s="315">
        <v>0</v>
      </c>
      <c r="P113" s="315">
        <v>0</v>
      </c>
      <c r="Q113" s="315">
        <v>0</v>
      </c>
      <c r="R113" s="315">
        <v>0</v>
      </c>
      <c r="S113" s="315">
        <v>0</v>
      </c>
      <c r="T113" s="315">
        <v>0</v>
      </c>
      <c r="U113" s="315">
        <v>0</v>
      </c>
      <c r="V113" s="316">
        <v>5.272899999999936E-2</v>
      </c>
    </row>
    <row r="114" spans="2:22" x14ac:dyDescent="0.3">
      <c r="B114" s="239" t="s">
        <v>129</v>
      </c>
      <c r="C114" s="309" t="s">
        <v>290</v>
      </c>
      <c r="D114" s="314">
        <v>-25.300370000000001</v>
      </c>
      <c r="E114" s="314">
        <v>-62.529226999999999</v>
      </c>
      <c r="F114" s="314">
        <v>-118.35395800000001</v>
      </c>
      <c r="G114" s="314">
        <v>-33.761374000000004</v>
      </c>
      <c r="H114" s="314">
        <v>-126.17509800000001</v>
      </c>
      <c r="I114" s="314">
        <v>-159.62473800000001</v>
      </c>
      <c r="J114" s="314">
        <v>-261.00446799999997</v>
      </c>
      <c r="K114" s="314">
        <v>-46.434167000000016</v>
      </c>
      <c r="L114" s="315">
        <v>-115.83973499999996</v>
      </c>
      <c r="M114" s="315">
        <v>-212.61462200000005</v>
      </c>
      <c r="N114" s="315">
        <v>-323.10048999999992</v>
      </c>
      <c r="O114" s="315">
        <v>-70.982240000000019</v>
      </c>
      <c r="P114" s="315">
        <v>-293.02014500000007</v>
      </c>
      <c r="Q114" s="315">
        <v>-353.82778199999996</v>
      </c>
      <c r="R114" s="315">
        <v>-737.17296700000009</v>
      </c>
      <c r="S114" s="315">
        <v>-434.49616599999996</v>
      </c>
      <c r="T114" s="315">
        <v>-536.3839089999999</v>
      </c>
      <c r="U114" s="315">
        <v>-610.91622899999993</v>
      </c>
      <c r="V114" s="316">
        <v>-981.73185100000001</v>
      </c>
    </row>
    <row r="115" spans="2:22" x14ac:dyDescent="0.3">
      <c r="B115" s="239" t="s">
        <v>105</v>
      </c>
      <c r="C115" s="309" t="s">
        <v>292</v>
      </c>
      <c r="D115" s="314">
        <v>-89.943265999999994</v>
      </c>
      <c r="E115" s="314">
        <v>-179.213572</v>
      </c>
      <c r="F115" s="314">
        <v>-270.11604</v>
      </c>
      <c r="G115" s="314">
        <v>-147.425422</v>
      </c>
      <c r="H115" s="314">
        <v>-338.44372299999998</v>
      </c>
      <c r="I115" s="314">
        <v>-450.83674600000001</v>
      </c>
      <c r="J115" s="314">
        <v>-698.94786199999987</v>
      </c>
      <c r="K115" s="314">
        <v>-149.706616</v>
      </c>
      <c r="L115" s="315">
        <v>-322.45622199999991</v>
      </c>
      <c r="M115" s="315">
        <v>-522.04771300000004</v>
      </c>
      <c r="N115" s="315">
        <v>-716.88813200000004</v>
      </c>
      <c r="O115" s="315">
        <v>-116.13253400000002</v>
      </c>
      <c r="P115" s="315">
        <v>-543.48155099999997</v>
      </c>
      <c r="Q115" s="315">
        <v>-735.23403700000017</v>
      </c>
      <c r="R115" s="315">
        <v>-1007.6235479999998</v>
      </c>
      <c r="S115" s="315">
        <v>-134.90387200000004</v>
      </c>
      <c r="T115" s="315">
        <v>-736.65014100000008</v>
      </c>
      <c r="U115" s="315">
        <v>-912.21062499999994</v>
      </c>
      <c r="V115" s="316">
        <v>-1763.6112909999997</v>
      </c>
    </row>
    <row r="116" spans="2:22" ht="15" thickBot="1" x14ac:dyDescent="0.35">
      <c r="B116" s="239" t="s">
        <v>259</v>
      </c>
      <c r="C116" s="309" t="s">
        <v>291</v>
      </c>
      <c r="D116" s="314">
        <v>-3.9584139999999999</v>
      </c>
      <c r="E116" s="314">
        <v>0.24455999999999989</v>
      </c>
      <c r="F116" s="314">
        <v>7.6106660000000002</v>
      </c>
      <c r="G116" s="314">
        <v>-1.047515</v>
      </c>
      <c r="H116" s="314">
        <v>-1.378093</v>
      </c>
      <c r="I116" s="314">
        <v>-0.85038199999999997</v>
      </c>
      <c r="J116" s="314">
        <v>4</v>
      </c>
      <c r="K116" s="314">
        <v>-15.734906000000001</v>
      </c>
      <c r="L116" s="315">
        <v>-18.975458</v>
      </c>
      <c r="M116" s="315">
        <v>-24.657693999999999</v>
      </c>
      <c r="N116" s="315">
        <v>-8.3776060000000001</v>
      </c>
      <c r="O116" s="315">
        <v>-14.363602999999999</v>
      </c>
      <c r="P116" s="315">
        <v>-19.340488000000001</v>
      </c>
      <c r="Q116" s="315">
        <v>-33.047750000000001</v>
      </c>
      <c r="R116" s="315">
        <v>-151.563039</v>
      </c>
      <c r="S116" s="315">
        <v>-0.5889899999999999</v>
      </c>
      <c r="T116" s="315">
        <v>-15.030633</v>
      </c>
      <c r="U116" s="315">
        <v>-409.81395900000001</v>
      </c>
      <c r="V116" s="316">
        <v>-44.745972000000002</v>
      </c>
    </row>
    <row r="117" spans="2:22" ht="15.6" thickTop="1" thickBot="1" x14ac:dyDescent="0.35">
      <c r="B117" s="310" t="s">
        <v>101</v>
      </c>
      <c r="C117" s="326" t="s">
        <v>101</v>
      </c>
      <c r="D117" s="321">
        <v>-119.12170499999999</v>
      </c>
      <c r="E117" s="321">
        <v>-241.403603</v>
      </c>
      <c r="F117" s="321">
        <v>-380.65499500000004</v>
      </c>
      <c r="G117" s="321">
        <v>-182.146931</v>
      </c>
      <c r="H117" s="321">
        <v>-465.86027399999995</v>
      </c>
      <c r="I117" s="321">
        <v>-610.71412099999998</v>
      </c>
      <c r="J117" s="321">
        <v>-956.44179199999996</v>
      </c>
      <c r="K117" s="321">
        <v>-211.77143600000002</v>
      </c>
      <c r="L117" s="339">
        <v>-457.27141499999988</v>
      </c>
      <c r="M117" s="339">
        <v>-759.14771400000006</v>
      </c>
      <c r="N117" s="339">
        <v>-1047.997529</v>
      </c>
      <c r="O117" s="339">
        <v>-198.44788000000005</v>
      </c>
      <c r="P117" s="339">
        <v>-852.78586600000017</v>
      </c>
      <c r="Q117" s="339">
        <v>-1117.233336</v>
      </c>
      <c r="R117" s="339">
        <f>+SUM(R112:R116)</f>
        <v>-1891.3595540000001</v>
      </c>
      <c r="S117" s="339">
        <v>-569.57067099999995</v>
      </c>
      <c r="T117" s="339">
        <v>-1284.196326</v>
      </c>
      <c r="U117" s="339">
        <v>-1932.7224569999998</v>
      </c>
      <c r="V117" s="341">
        <v>-2789.818029</v>
      </c>
    </row>
    <row r="119" spans="2:22" x14ac:dyDescent="0.3">
      <c r="D119" s="52"/>
      <c r="E119" s="52"/>
      <c r="F119" s="52"/>
      <c r="G119" s="52"/>
      <c r="H119" s="52"/>
      <c r="I119" s="52"/>
      <c r="J119" s="52"/>
    </row>
    <row r="120" spans="2:22" ht="13.8" hidden="1" customHeight="1" outlineLevel="1" x14ac:dyDescent="0.35">
      <c r="B120" s="143" t="s">
        <v>197</v>
      </c>
      <c r="C120" s="143" t="s">
        <v>198</v>
      </c>
      <c r="D120" s="52"/>
      <c r="E120" s="52"/>
      <c r="F120" s="52"/>
      <c r="G120" s="52"/>
      <c r="H120" s="52"/>
      <c r="I120" s="52"/>
      <c r="J120" s="52"/>
      <c r="Q120" s="280"/>
      <c r="R120" s="280"/>
      <c r="S120" s="280"/>
      <c r="T120" s="280"/>
    </row>
    <row r="121" spans="2:22" hidden="1" outlineLevel="1" x14ac:dyDescent="0.3">
      <c r="B121" s="112" t="s">
        <v>202</v>
      </c>
      <c r="C121" s="112" t="s">
        <v>205</v>
      </c>
      <c r="D121" s="147">
        <v>2016</v>
      </c>
      <c r="E121" s="147">
        <v>2017</v>
      </c>
      <c r="F121" s="147">
        <v>2018</v>
      </c>
      <c r="G121" s="147">
        <v>2019</v>
      </c>
      <c r="H121" s="147" t="s">
        <v>190</v>
      </c>
      <c r="I121" s="147" t="s">
        <v>192</v>
      </c>
      <c r="J121" s="147" t="s">
        <v>263</v>
      </c>
    </row>
    <row r="122" spans="2:22" hidden="1" outlineLevel="1" x14ac:dyDescent="0.3">
      <c r="B122" t="s">
        <v>149</v>
      </c>
      <c r="C122" t="s">
        <v>195</v>
      </c>
      <c r="D122" s="241" t="e">
        <f>#REF!+#REF!+#REF!+#REF!+#REF!</f>
        <v>#REF!</v>
      </c>
      <c r="E122" s="245" t="e">
        <f>#REF!+#REF!+#REF!+#REF!+#REF!</f>
        <v>#REF!</v>
      </c>
      <c r="F122" s="241" t="e">
        <f>#REF!+#REF!+#REF!+#REF!+#REF!</f>
        <v>#REF!</v>
      </c>
      <c r="G122" s="242" t="e">
        <f>#REF!+#REF!+#REF!+#REF!+#REF!</f>
        <v>#REF!</v>
      </c>
      <c r="H122" s="241" t="e">
        <f>#REF!+#REF!+#REF!+#REF!+#REF!</f>
        <v>#REF!</v>
      </c>
      <c r="I122" s="242" t="e">
        <f>#REF!+#REF!+#REF!+#REF!+#REF!</f>
        <v>#REF!</v>
      </c>
      <c r="J122" s="241" t="e">
        <f>#REF!+#REF!+#REF!+#REF!+#REF!</f>
        <v>#REF!</v>
      </c>
    </row>
    <row r="123" spans="2:22" hidden="1" outlineLevel="1" x14ac:dyDescent="0.3">
      <c r="B123" t="s">
        <v>150</v>
      </c>
      <c r="C123" t="s">
        <v>196</v>
      </c>
      <c r="D123" s="241" t="e">
        <f>#REF!+#REF!+#REF!+#REF!+#REF!</f>
        <v>#REF!</v>
      </c>
      <c r="E123" s="245" t="e">
        <f>#REF!+#REF!+#REF!+#REF!+#REF!</f>
        <v>#REF!</v>
      </c>
      <c r="F123" s="241" t="e">
        <f>#REF!+#REF!+#REF!+#REF!+#REF!</f>
        <v>#REF!</v>
      </c>
      <c r="G123" s="242" t="e">
        <f>#REF!+#REF!+#REF!+#REF!+#REF!</f>
        <v>#REF!</v>
      </c>
      <c r="H123" s="241" t="e">
        <f>#REF!+#REF!+#REF!+#REF!+#REF!</f>
        <v>#REF!</v>
      </c>
      <c r="I123" s="242" t="e">
        <f>#REF!+#REF!+#REF!+#REF!+#REF!</f>
        <v>#REF!</v>
      </c>
      <c r="J123" s="241" t="e">
        <f>#REF!+#REF!+#REF!+#REF!+#REF!</f>
        <v>#REF!</v>
      </c>
    </row>
    <row r="124" spans="2:22" ht="15" hidden="1" outlineLevel="1" thickBot="1" x14ac:dyDescent="0.35">
      <c r="B124" s="144" t="s">
        <v>101</v>
      </c>
      <c r="C124" s="144" t="s">
        <v>101</v>
      </c>
      <c r="D124" s="243" t="e">
        <f>#REF!+#REF!+#REF!+#REF!+#REF!</f>
        <v>#REF!</v>
      </c>
      <c r="E124" s="246" t="e">
        <f>#REF!+#REF!+#REF!+#REF!+#REF!</f>
        <v>#REF!</v>
      </c>
      <c r="F124" s="243" t="e">
        <f>#REF!+#REF!+#REF!+#REF!+#REF!</f>
        <v>#REF!</v>
      </c>
      <c r="G124" s="244" t="e">
        <f>#REF!+#REF!+#REF!+#REF!+#REF!</f>
        <v>#REF!</v>
      </c>
      <c r="H124" s="243" t="e">
        <f>#REF!+#REF!+#REF!+#REF!+#REF!</f>
        <v>#REF!</v>
      </c>
      <c r="I124" s="246" t="e">
        <f>#REF!+#REF!+#REF!+#REF!+#REF!</f>
        <v>#REF!</v>
      </c>
      <c r="J124" s="243" t="e">
        <f>#REF!+#REF!+#REF!+#REF!+#REF!</f>
        <v>#REF!</v>
      </c>
    </row>
    <row r="125" spans="2:22" hidden="1" outlineLevel="1" x14ac:dyDescent="0.3">
      <c r="D125" s="52"/>
      <c r="E125" s="52"/>
      <c r="F125" s="52"/>
      <c r="G125" s="52"/>
      <c r="H125" s="52"/>
      <c r="I125" s="52"/>
      <c r="J125" s="52"/>
    </row>
    <row r="126" spans="2:22" hidden="1" outlineLevel="1" x14ac:dyDescent="0.3">
      <c r="D126" s="52"/>
      <c r="E126" s="52"/>
      <c r="F126" s="52"/>
      <c r="G126" s="52"/>
      <c r="H126" s="52"/>
      <c r="I126" s="52"/>
      <c r="J126" s="52"/>
    </row>
    <row r="127" spans="2:22" hidden="1" outlineLevel="1" x14ac:dyDescent="0.3">
      <c r="B127" s="143" t="s">
        <v>197</v>
      </c>
      <c r="C127" s="143" t="s">
        <v>198</v>
      </c>
      <c r="D127" s="52"/>
      <c r="E127" s="52"/>
      <c r="F127" s="52"/>
      <c r="G127" s="52"/>
      <c r="H127" s="52"/>
      <c r="I127" s="52"/>
      <c r="J127" s="52"/>
    </row>
    <row r="128" spans="2:22" hidden="1" outlineLevel="1" x14ac:dyDescent="0.3">
      <c r="B128" s="112" t="s">
        <v>203</v>
      </c>
      <c r="C128" s="112" t="s">
        <v>204</v>
      </c>
      <c r="D128" s="147">
        <v>2016</v>
      </c>
      <c r="E128" s="147">
        <v>2017</v>
      </c>
      <c r="F128" s="147">
        <v>2018</v>
      </c>
      <c r="G128" s="147">
        <v>2019</v>
      </c>
      <c r="H128" s="147" t="s">
        <v>190</v>
      </c>
      <c r="I128" s="147" t="s">
        <v>192</v>
      </c>
      <c r="J128" s="147" t="s">
        <v>263</v>
      </c>
    </row>
    <row r="129" spans="2:11" hidden="1" outlineLevel="1" x14ac:dyDescent="0.3">
      <c r="B129" t="s">
        <v>149</v>
      </c>
      <c r="C129" t="s">
        <v>195</v>
      </c>
      <c r="D129" s="241" t="e">
        <f>D122+G160</f>
        <v>#REF!</v>
      </c>
      <c r="E129" s="245" t="e">
        <f>E122+F160</f>
        <v>#REF!</v>
      </c>
      <c r="F129" s="241" t="e">
        <f>F122+E160</f>
        <v>#REF!</v>
      </c>
      <c r="G129" s="242" t="e">
        <f>G122+D160</f>
        <v>#REF!</v>
      </c>
      <c r="H129" s="241"/>
      <c r="I129" s="242"/>
      <c r="J129" s="241"/>
    </row>
    <row r="130" spans="2:11" hidden="1" outlineLevel="1" x14ac:dyDescent="0.3">
      <c r="B130" t="s">
        <v>150</v>
      </c>
      <c r="C130" t="s">
        <v>196</v>
      </c>
      <c r="D130" s="241" t="e">
        <f>D123+G167</f>
        <v>#REF!</v>
      </c>
      <c r="E130" s="245" t="e">
        <f>E123+F167</f>
        <v>#REF!</v>
      </c>
      <c r="F130" s="241" t="e">
        <f>F123+E167</f>
        <v>#REF!</v>
      </c>
      <c r="G130" s="242" t="e">
        <f>G123+D167</f>
        <v>#REF!</v>
      </c>
      <c r="H130" s="241"/>
      <c r="I130" s="242"/>
      <c r="J130" s="241"/>
    </row>
    <row r="131" spans="2:11" ht="15" hidden="1" outlineLevel="1" thickBot="1" x14ac:dyDescent="0.35">
      <c r="B131" s="144" t="s">
        <v>101</v>
      </c>
      <c r="C131" s="144" t="s">
        <v>101</v>
      </c>
      <c r="D131" s="243" t="e">
        <f>D124+G174</f>
        <v>#REF!</v>
      </c>
      <c r="E131" s="246" t="e">
        <f>E124+F174</f>
        <v>#REF!</v>
      </c>
      <c r="F131" s="243" t="e">
        <f>F124+E174</f>
        <v>#REF!</v>
      </c>
      <c r="G131" s="244" t="e">
        <f>G124+D174</f>
        <v>#REF!</v>
      </c>
      <c r="H131" s="243"/>
      <c r="I131" s="246"/>
      <c r="J131" s="243"/>
    </row>
    <row r="132" spans="2:11" hidden="1" outlineLevel="1" x14ac:dyDescent="0.3"/>
    <row r="133" spans="2:11" hidden="1" outlineLevel="1" x14ac:dyDescent="0.3"/>
    <row r="134" spans="2:11" hidden="1" outlineLevel="1" x14ac:dyDescent="0.3"/>
    <row r="135" spans="2:11" ht="101.4" hidden="1" outlineLevel="1" thickBot="1" x14ac:dyDescent="0.35">
      <c r="B135" s="213" t="s">
        <v>282</v>
      </c>
      <c r="D135" s="214" t="s">
        <v>270</v>
      </c>
      <c r="E135" s="215" t="s">
        <v>271</v>
      </c>
      <c r="F135" s="214" t="s">
        <v>272</v>
      </c>
      <c r="G135" s="214" t="s">
        <v>273</v>
      </c>
      <c r="H135" s="214" t="s">
        <v>147</v>
      </c>
      <c r="I135" s="214" t="s">
        <v>274</v>
      </c>
      <c r="J135" s="214" t="s">
        <v>224</v>
      </c>
    </row>
    <row r="136" spans="2:11" hidden="1" outlineLevel="1" x14ac:dyDescent="0.3">
      <c r="B136" s="216" t="s">
        <v>149</v>
      </c>
      <c r="D136" s="217">
        <v>14179.346353000001</v>
      </c>
      <c r="E136" s="217">
        <v>3584.9936440000001</v>
      </c>
      <c r="F136" s="217">
        <v>10746.656838999999</v>
      </c>
      <c r="G136" s="217">
        <v>11997.630348999999</v>
      </c>
      <c r="H136" s="217">
        <v>455.00343099999998</v>
      </c>
      <c r="I136" s="217">
        <v>-7982.3292099999999</v>
      </c>
      <c r="J136" s="218">
        <v>32981.301406000006</v>
      </c>
    </row>
    <row r="137" spans="2:11" hidden="1" outlineLevel="1" x14ac:dyDescent="0.3">
      <c r="B137" s="219" t="s">
        <v>129</v>
      </c>
      <c r="D137" s="220">
        <v>-9965.8493450000005</v>
      </c>
      <c r="E137" s="220">
        <v>-669.37559699999997</v>
      </c>
      <c r="F137" s="220">
        <v>-7808.7500980000004</v>
      </c>
      <c r="G137" s="220">
        <v>-11616.009585</v>
      </c>
      <c r="H137" s="220">
        <v>-614.62636399999997</v>
      </c>
      <c r="I137" s="220">
        <v>7602.1814219999997</v>
      </c>
      <c r="J137" s="221">
        <v>-23072.429567000003</v>
      </c>
    </row>
    <row r="138" spans="2:11" hidden="1" outlineLevel="1" x14ac:dyDescent="0.3">
      <c r="B138" s="219" t="s">
        <v>105</v>
      </c>
      <c r="D138" s="220">
        <v>-268.81010700000002</v>
      </c>
      <c r="E138" s="220">
        <v>-0.05</v>
      </c>
      <c r="F138" s="220">
        <v>-2445.5793829999998</v>
      </c>
      <c r="G138" s="220">
        <v>-100.72804099999999</v>
      </c>
      <c r="H138" s="220">
        <v>-954.87623699999995</v>
      </c>
      <c r="I138" s="220">
        <v>3.9919999999824497E-3</v>
      </c>
      <c r="J138" s="221">
        <v>-3770.0397760000001</v>
      </c>
    </row>
    <row r="139" spans="2:11" hidden="1" outlineLevel="1" x14ac:dyDescent="0.3">
      <c r="B139" s="219" t="s">
        <v>275</v>
      </c>
      <c r="D139" s="220">
        <v>-1072.0747389999999</v>
      </c>
      <c r="E139" s="220">
        <v>39.092208999999997</v>
      </c>
      <c r="F139" s="220">
        <v>-94.563053999999994</v>
      </c>
      <c r="G139" s="220">
        <v>4.7089590000000001</v>
      </c>
      <c r="H139" s="220">
        <v>-7.5942430000000005</v>
      </c>
      <c r="I139" s="220">
        <v>-8.5356749999999995</v>
      </c>
      <c r="J139" s="221">
        <v>-1138.9665429999998</v>
      </c>
      <c r="K139" s="220"/>
    </row>
    <row r="140" spans="2:11" hidden="1" outlineLevel="1" x14ac:dyDescent="0.3">
      <c r="B140" s="219" t="s">
        <v>276</v>
      </c>
      <c r="D140" s="220">
        <v>60.413164999999999</v>
      </c>
      <c r="E140" s="220">
        <v>0</v>
      </c>
      <c r="F140" s="220">
        <v>43.137740999999998</v>
      </c>
      <c r="G140" s="220">
        <v>0</v>
      </c>
      <c r="H140" s="220">
        <v>19.659490000000002</v>
      </c>
      <c r="I140" s="220">
        <v>389.01557700000001</v>
      </c>
      <c r="J140" s="221">
        <v>512.22597299999995</v>
      </c>
    </row>
    <row r="141" spans="2:11" ht="15" hidden="1" outlineLevel="1" thickTop="1" x14ac:dyDescent="0.3">
      <c r="B141" s="222" t="s">
        <v>277</v>
      </c>
      <c r="D141" s="223">
        <v>2933.0253269999994</v>
      </c>
      <c r="E141" s="223">
        <v>2954.6602560000001</v>
      </c>
      <c r="F141" s="223">
        <v>440.90204499999953</v>
      </c>
      <c r="G141" s="223">
        <v>285.60168200000044</v>
      </c>
      <c r="H141" s="223">
        <v>-1102.433923</v>
      </c>
      <c r="I141" s="223">
        <v>0.33610599999933038</v>
      </c>
      <c r="J141" s="224">
        <v>5512.0914930000017</v>
      </c>
    </row>
    <row r="142" spans="2:11" hidden="1" outlineLevel="1" x14ac:dyDescent="0.3">
      <c r="B142" s="225"/>
      <c r="D142" s="226"/>
      <c r="E142" s="226">
        <v>1000</v>
      </c>
      <c r="F142" s="226"/>
      <c r="G142" s="226"/>
      <c r="H142" s="226"/>
      <c r="I142" s="226"/>
      <c r="J142" s="226"/>
    </row>
    <row r="143" spans="2:11" hidden="1" outlineLevel="1" x14ac:dyDescent="0.3">
      <c r="B143" s="225"/>
      <c r="D143" s="226"/>
      <c r="E143" s="226"/>
      <c r="F143" s="226"/>
      <c r="G143" s="226"/>
      <c r="H143" s="226"/>
      <c r="I143" s="226"/>
      <c r="J143" s="226"/>
    </row>
    <row r="144" spans="2:11" ht="115.8" hidden="1" outlineLevel="1" thickBot="1" x14ac:dyDescent="0.35">
      <c r="B144" s="213" t="s">
        <v>283</v>
      </c>
      <c r="D144" s="227" t="s">
        <v>270</v>
      </c>
      <c r="E144" s="228" t="s">
        <v>271</v>
      </c>
      <c r="F144" s="227" t="s">
        <v>272</v>
      </c>
      <c r="G144" s="227" t="s">
        <v>273</v>
      </c>
      <c r="H144" s="227" t="s">
        <v>147</v>
      </c>
      <c r="I144" s="227" t="s">
        <v>274</v>
      </c>
      <c r="J144" s="227" t="s">
        <v>224</v>
      </c>
    </row>
    <row r="145" spans="2:12" hidden="1" outlineLevel="1" x14ac:dyDescent="0.3">
      <c r="B145" s="216" t="s">
        <v>149</v>
      </c>
      <c r="D145" s="217">
        <v>11699.308000000001</v>
      </c>
      <c r="E145" s="217">
        <v>2361.5630000000001</v>
      </c>
      <c r="F145" s="217">
        <v>9558.2109999999993</v>
      </c>
      <c r="G145" s="217">
        <v>9901.4330000000009</v>
      </c>
      <c r="H145" s="217">
        <v>416.065</v>
      </c>
      <c r="I145" s="217">
        <v>-8363.2303800000009</v>
      </c>
      <c r="J145" s="218">
        <v>25573.349619999997</v>
      </c>
    </row>
    <row r="146" spans="2:12" hidden="1" outlineLevel="1" x14ac:dyDescent="0.3">
      <c r="B146" s="219" t="s">
        <v>129</v>
      </c>
      <c r="D146" s="220">
        <v>-9538.7450000000008</v>
      </c>
      <c r="E146" s="220">
        <v>-492.32499999999999</v>
      </c>
      <c r="F146" s="220">
        <v>-5818.0392680000004</v>
      </c>
      <c r="G146" s="220">
        <v>-9243.9500000000007</v>
      </c>
      <c r="H146" s="220">
        <v>-560.20630200000005</v>
      </c>
      <c r="I146" s="220">
        <v>7373.6660000000002</v>
      </c>
      <c r="J146" s="221">
        <v>-18279.599569999998</v>
      </c>
    </row>
    <row r="147" spans="2:12" hidden="1" outlineLevel="1" x14ac:dyDescent="0.3">
      <c r="B147" s="219" t="s">
        <v>105</v>
      </c>
      <c r="D147" s="220">
        <v>-184.53700000000001</v>
      </c>
      <c r="E147" s="220">
        <v>0</v>
      </c>
      <c r="F147" s="220">
        <v>-2127.7919999999999</v>
      </c>
      <c r="G147" s="220">
        <v>-78.572999999999993</v>
      </c>
      <c r="H147" s="220">
        <v>-848.322</v>
      </c>
      <c r="I147" s="220">
        <v>156.29849999999999</v>
      </c>
      <c r="J147" s="221">
        <v>-3082.9254999999998</v>
      </c>
    </row>
    <row r="148" spans="2:12" hidden="1" outlineLevel="1" x14ac:dyDescent="0.3">
      <c r="B148" s="219" t="s">
        <v>275</v>
      </c>
      <c r="D148" s="220">
        <v>-752.26800000000003</v>
      </c>
      <c r="E148" s="220">
        <v>34.405999999999999</v>
      </c>
      <c r="F148" s="220">
        <v>-52.79</v>
      </c>
      <c r="G148" s="220">
        <v>5.6130000000000004</v>
      </c>
      <c r="H148" s="220">
        <v>-10.552</v>
      </c>
      <c r="I148" s="220">
        <v>51.453499999999998</v>
      </c>
      <c r="J148" s="221">
        <v>-724.13750000000005</v>
      </c>
    </row>
    <row r="149" spans="2:12" hidden="1" outlineLevel="1" x14ac:dyDescent="0.3">
      <c r="B149" s="219" t="s">
        <v>276</v>
      </c>
      <c r="D149" s="220">
        <v>25.309861000000001</v>
      </c>
      <c r="E149" s="220">
        <v>0</v>
      </c>
      <c r="F149" s="220">
        <v>255.15560399999998</v>
      </c>
      <c r="G149" s="220">
        <v>0</v>
      </c>
      <c r="H149" s="220">
        <v>12.028411</v>
      </c>
      <c r="I149" s="220">
        <v>0</v>
      </c>
      <c r="J149" s="221">
        <v>292.493876</v>
      </c>
    </row>
    <row r="150" spans="2:12" ht="15" hidden="1" outlineLevel="1" thickTop="1" x14ac:dyDescent="0.3">
      <c r="B150" s="222" t="s">
        <v>277</v>
      </c>
      <c r="D150" s="223">
        <v>1249.067861</v>
      </c>
      <c r="E150" s="223">
        <v>1903.644</v>
      </c>
      <c r="F150" s="223">
        <v>1814.745336</v>
      </c>
      <c r="G150" s="223">
        <v>584.52300000000002</v>
      </c>
      <c r="H150" s="223">
        <v>-990.98689100000001</v>
      </c>
      <c r="I150" s="223">
        <v>-781.81238000000087</v>
      </c>
      <c r="J150" s="224">
        <v>3779.1809259999973</v>
      </c>
    </row>
    <row r="151" spans="2:12" hidden="1" outlineLevel="1" x14ac:dyDescent="0.3"/>
    <row r="152" spans="2:12" hidden="1" outlineLevel="1" x14ac:dyDescent="0.3"/>
    <row r="153" spans="2:12" hidden="1" outlineLevel="1" x14ac:dyDescent="0.3">
      <c r="B153" s="32"/>
      <c r="D153" s="31">
        <v>43830</v>
      </c>
      <c r="E153" s="32">
        <v>43465</v>
      </c>
      <c r="F153" s="31">
        <v>43100</v>
      </c>
      <c r="G153" s="32">
        <v>42735</v>
      </c>
      <c r="H153" s="33" t="s">
        <v>141</v>
      </c>
    </row>
    <row r="154" spans="2:12" ht="27.6" hidden="1" outlineLevel="1" x14ac:dyDescent="0.3">
      <c r="B154" s="34" t="s">
        <v>151</v>
      </c>
      <c r="C154" s="34"/>
      <c r="D154" s="36" t="s">
        <v>142</v>
      </c>
      <c r="E154" s="36" t="s">
        <v>142</v>
      </c>
      <c r="F154" s="35" t="s">
        <v>142</v>
      </c>
      <c r="G154" s="36" t="s">
        <v>142</v>
      </c>
      <c r="H154" s="37" t="s">
        <v>209</v>
      </c>
    </row>
    <row r="155" spans="2:12" ht="27.6" hidden="1" outlineLevel="1" x14ac:dyDescent="0.3">
      <c r="B155" s="38" t="s">
        <v>261</v>
      </c>
      <c r="C155" s="42"/>
      <c r="D155" s="39">
        <v>11699.308056</v>
      </c>
      <c r="E155" s="40">
        <v>10230.591</v>
      </c>
      <c r="F155" s="39">
        <v>9557.5337209999998</v>
      </c>
      <c r="G155" s="40">
        <v>8291.0161179999996</v>
      </c>
      <c r="H155" s="41">
        <f>D155/E155-1</f>
        <v>0.14356131097411673</v>
      </c>
      <c r="K155" s="42"/>
      <c r="L155" s="50"/>
    </row>
    <row r="156" spans="2:12" ht="27.6" hidden="1" outlineLevel="1" x14ac:dyDescent="0.3">
      <c r="B156" s="42" t="s">
        <v>260</v>
      </c>
      <c r="C156" s="42"/>
      <c r="D156" s="43">
        <v>2361.5630350000001</v>
      </c>
      <c r="E156" s="29">
        <v>626.95699999999999</v>
      </c>
      <c r="F156" s="43">
        <v>837.77375500000005</v>
      </c>
      <c r="G156" s="29">
        <v>1015.4943420000001</v>
      </c>
      <c r="H156" s="44">
        <f t="shared" ref="H156:H175" si="0">D156/E156-1</f>
        <v>2.7667065444679619</v>
      </c>
      <c r="K156" s="42"/>
      <c r="L156" s="50"/>
    </row>
    <row r="157" spans="2:12" hidden="1" outlineLevel="1" x14ac:dyDescent="0.3">
      <c r="B157" s="42" t="s">
        <v>145</v>
      </c>
      <c r="C157" s="42"/>
      <c r="D157" s="43">
        <v>9558.2110150000008</v>
      </c>
      <c r="E157" s="29">
        <v>7581.6869999999999</v>
      </c>
      <c r="F157" s="43">
        <v>6216.3799730000001</v>
      </c>
      <c r="G157" s="29">
        <v>3897.1971610000001</v>
      </c>
      <c r="H157" s="44">
        <f t="shared" si="0"/>
        <v>0.26069712651023469</v>
      </c>
      <c r="K157" s="42"/>
      <c r="L157" s="50"/>
    </row>
    <row r="158" spans="2:12" hidden="1" outlineLevel="1" x14ac:dyDescent="0.3">
      <c r="B158" s="42" t="s">
        <v>146</v>
      </c>
      <c r="C158" s="42"/>
      <c r="D158" s="43">
        <v>9901.4330840000002</v>
      </c>
      <c r="E158" s="29">
        <v>6943.4889999999996</v>
      </c>
      <c r="F158" s="43">
        <v>5120.8255200000003</v>
      </c>
      <c r="G158" s="29">
        <v>3091.856252</v>
      </c>
      <c r="H158" s="44">
        <f t="shared" si="0"/>
        <v>0.4260025592321095</v>
      </c>
      <c r="K158" s="42"/>
      <c r="L158" s="50"/>
    </row>
    <row r="159" spans="2:12" hidden="1" outlineLevel="1" x14ac:dyDescent="0.3">
      <c r="B159" s="42" t="s">
        <v>147</v>
      </c>
      <c r="C159" s="42"/>
      <c r="D159" s="43">
        <v>416.06544100000002</v>
      </c>
      <c r="E159" s="29">
        <v>346.96300000000002</v>
      </c>
      <c r="F159" s="43">
        <v>346</v>
      </c>
      <c r="G159" s="29">
        <v>729.72434799999996</v>
      </c>
      <c r="H159" s="44">
        <f t="shared" si="0"/>
        <v>0.19916371774511976</v>
      </c>
      <c r="K159" s="42"/>
      <c r="L159" s="50"/>
    </row>
    <row r="160" spans="2:12" hidden="1" outlineLevel="1" x14ac:dyDescent="0.3">
      <c r="B160" s="42" t="s">
        <v>148</v>
      </c>
      <c r="C160" s="42"/>
      <c r="D160" s="43">
        <v>-8363.2303800000009</v>
      </c>
      <c r="E160" s="29">
        <f>+'éves P&amp;L_mérleg'!F70-SUM('szegmensek új '!E155:E159)</f>
        <v>-7043.9200000000019</v>
      </c>
      <c r="F160" s="43">
        <f>-3670-20</f>
        <v>-3690</v>
      </c>
      <c r="G160" s="29">
        <v>-3077.0695139999998</v>
      </c>
      <c r="H160" s="44">
        <f t="shared" si="0"/>
        <v>0.18729775182000918</v>
      </c>
    </row>
    <row r="161" spans="2:13" ht="15" hidden="1" outlineLevel="1" thickBot="1" x14ac:dyDescent="0.35">
      <c r="B161" s="45" t="s">
        <v>149</v>
      </c>
      <c r="C161" s="45"/>
      <c r="D161" s="46">
        <v>25573.350251000003</v>
      </c>
      <c r="E161" s="47">
        <f>+SUM(E155:E160)</f>
        <v>18685.767</v>
      </c>
      <c r="F161" s="46">
        <f>+SUM(F155:F160)</f>
        <v>18388.512969000003</v>
      </c>
      <c r="G161" s="47">
        <f>+SUM(G155:G160)</f>
        <v>13948.218707</v>
      </c>
      <c r="H161" s="48">
        <f t="shared" si="0"/>
        <v>0.36860051027073193</v>
      </c>
    </row>
    <row r="162" spans="2:13" hidden="1" outlineLevel="1" x14ac:dyDescent="0.3">
      <c r="B162" s="42" t="s">
        <v>143</v>
      </c>
      <c r="C162" s="42"/>
      <c r="D162" s="43">
        <v>-10450.240345</v>
      </c>
      <c r="E162" s="29">
        <f>-8697-30-426</f>
        <v>-9153</v>
      </c>
      <c r="F162" s="43">
        <f>-8660-1+217</f>
        <v>-8444</v>
      </c>
      <c r="G162" s="29">
        <v>-6694.334866000002</v>
      </c>
      <c r="H162" s="44">
        <f t="shared" si="0"/>
        <v>0.14172843275428826</v>
      </c>
    </row>
    <row r="163" spans="2:13" ht="27.6" hidden="1" outlineLevel="1" x14ac:dyDescent="0.3">
      <c r="B163" s="42" t="s">
        <v>144</v>
      </c>
      <c r="C163" s="42"/>
      <c r="D163" s="43">
        <v>-457.91884499999998</v>
      </c>
      <c r="E163" s="29">
        <f>-164-73+43</f>
        <v>-194</v>
      </c>
      <c r="F163" s="43">
        <f>-221-97+38</f>
        <v>-280</v>
      </c>
      <c r="G163" s="29">
        <v>-302.82872500000002</v>
      </c>
      <c r="H163" s="44">
        <f t="shared" si="0"/>
        <v>1.3604064175257733</v>
      </c>
    </row>
    <row r="164" spans="2:13" hidden="1" outlineLevel="1" x14ac:dyDescent="0.3">
      <c r="B164" s="42" t="s">
        <v>145</v>
      </c>
      <c r="C164" s="42"/>
      <c r="D164" s="43">
        <v>-7745.0220890000001</v>
      </c>
      <c r="E164" s="29">
        <f>-4927-1611+213</f>
        <v>-6325</v>
      </c>
      <c r="F164" s="43">
        <f>-3759-1345+55</f>
        <v>-5049</v>
      </c>
      <c r="G164" s="29">
        <v>-3133.6149570000002</v>
      </c>
      <c r="H164" s="44">
        <f t="shared" si="0"/>
        <v>0.22450942118577077</v>
      </c>
    </row>
    <row r="165" spans="2:13" hidden="1" outlineLevel="1" x14ac:dyDescent="0.3">
      <c r="B165" s="42" t="s">
        <v>146</v>
      </c>
      <c r="C165" s="42"/>
      <c r="D165" s="43">
        <v>-9316.9100830000007</v>
      </c>
      <c r="E165" s="29">
        <f>-6626-53+18</f>
        <v>-6661</v>
      </c>
      <c r="F165" s="43">
        <f>-5217-47+2</f>
        <v>-5262</v>
      </c>
      <c r="G165" s="29">
        <v>-2966.2490310000003</v>
      </c>
      <c r="H165" s="44">
        <f t="shared" si="0"/>
        <v>0.39872542906470509</v>
      </c>
    </row>
    <row r="166" spans="2:13" hidden="1" outlineLevel="1" x14ac:dyDescent="0.3">
      <c r="B166" s="42" t="s">
        <v>147</v>
      </c>
      <c r="C166" s="42"/>
      <c r="D166" s="43">
        <v>-1407.0520859999999</v>
      </c>
      <c r="E166" s="29">
        <f>-545-800-10</f>
        <v>-1355</v>
      </c>
      <c r="F166" s="43">
        <f>-407-681+9</f>
        <v>-1079</v>
      </c>
      <c r="G166" s="29">
        <v>-1614.6495629999999</v>
      </c>
      <c r="H166" s="44">
        <f t="shared" si="0"/>
        <v>3.8414823616236049E-2</v>
      </c>
    </row>
    <row r="167" spans="2:13" hidden="1" outlineLevel="1" x14ac:dyDescent="0.3">
      <c r="B167" s="42" t="s">
        <v>148</v>
      </c>
      <c r="C167" s="42"/>
      <c r="D167" s="43">
        <v>7582.9740929999989</v>
      </c>
      <c r="E167" s="29">
        <f>-E160-241</f>
        <v>6802.9200000000019</v>
      </c>
      <c r="F167" s="43">
        <f>-F160-13</f>
        <v>3677</v>
      </c>
      <c r="G167" s="29">
        <v>3077.0445830000003</v>
      </c>
      <c r="H167" s="44">
        <f t="shared" si="0"/>
        <v>0.1146645988781283</v>
      </c>
    </row>
    <row r="168" spans="2:13" ht="15" hidden="1" outlineLevel="1" thickBot="1" x14ac:dyDescent="0.35">
      <c r="B168" s="45" t="s">
        <v>150</v>
      </c>
      <c r="C168" s="45"/>
      <c r="D168" s="46">
        <v>-21794.169354999998</v>
      </c>
      <c r="E168" s="47">
        <f>+SUM(E162:E167)</f>
        <v>-16885.079999999998</v>
      </c>
      <c r="F168" s="46">
        <f>+SUM(F162:F167)</f>
        <v>-16437</v>
      </c>
      <c r="G168" s="47">
        <f>+SUM(G162:G167)</f>
        <v>-11634.632559</v>
      </c>
      <c r="H168" s="48">
        <f t="shared" si="0"/>
        <v>0.29073533290929032</v>
      </c>
    </row>
    <row r="169" spans="2:13" hidden="1" outlineLevel="1" x14ac:dyDescent="0.3">
      <c r="B169" s="42" t="s">
        <v>143</v>
      </c>
      <c r="C169" s="42"/>
      <c r="D169" s="43">
        <v>1249.0677110000006</v>
      </c>
      <c r="E169" s="29">
        <f t="shared" ref="E169:G174" si="1">+E155+E162</f>
        <v>1077.5910000000003</v>
      </c>
      <c r="F169" s="43">
        <f>+F155+F162</f>
        <v>1113.5337209999998</v>
      </c>
      <c r="G169" s="29">
        <f t="shared" si="1"/>
        <v>1596.6812519999976</v>
      </c>
      <c r="H169" s="44">
        <f t="shared" si="0"/>
        <v>0.15912967999918348</v>
      </c>
      <c r="L169" s="29"/>
      <c r="M169" s="50"/>
    </row>
    <row r="170" spans="2:13" ht="27.6" hidden="1" outlineLevel="1" x14ac:dyDescent="0.3">
      <c r="B170" s="42" t="s">
        <v>144</v>
      </c>
      <c r="C170" s="42"/>
      <c r="D170" s="43">
        <v>1903.6441900000002</v>
      </c>
      <c r="E170" s="29">
        <f t="shared" si="1"/>
        <v>432.95699999999999</v>
      </c>
      <c r="F170" s="43">
        <f t="shared" si="1"/>
        <v>557.77375500000005</v>
      </c>
      <c r="G170" s="29">
        <f t="shared" si="1"/>
        <v>712.66561700000011</v>
      </c>
      <c r="H170" s="44">
        <f t="shared" si="0"/>
        <v>3.3968435433541906</v>
      </c>
      <c r="L170" s="29"/>
      <c r="M170" s="50"/>
    </row>
    <row r="171" spans="2:13" hidden="1" outlineLevel="1" x14ac:dyDescent="0.3">
      <c r="B171" s="42" t="s">
        <v>145</v>
      </c>
      <c r="C171" s="42"/>
      <c r="D171" s="43">
        <v>1813.1889260000007</v>
      </c>
      <c r="E171" s="29">
        <f t="shared" si="1"/>
        <v>1256.6869999999999</v>
      </c>
      <c r="F171" s="43">
        <f t="shared" si="1"/>
        <v>1167.3799730000001</v>
      </c>
      <c r="G171" s="29">
        <f t="shared" si="1"/>
        <v>763.58220399999982</v>
      </c>
      <c r="H171" s="44">
        <f t="shared" si="0"/>
        <v>0.44283256371713953</v>
      </c>
      <c r="L171" s="29"/>
      <c r="M171" s="50"/>
    </row>
    <row r="172" spans="2:13" hidden="1" outlineLevel="1" x14ac:dyDescent="0.3">
      <c r="B172" s="42" t="s">
        <v>146</v>
      </c>
      <c r="C172" s="42"/>
      <c r="D172" s="43">
        <v>584.52300100000025</v>
      </c>
      <c r="E172" s="29">
        <f t="shared" si="1"/>
        <v>282.48899999999958</v>
      </c>
      <c r="F172" s="43">
        <f t="shared" si="1"/>
        <v>-141.17447999999968</v>
      </c>
      <c r="G172" s="29">
        <f t="shared" si="1"/>
        <v>125.60722099999975</v>
      </c>
      <c r="H172" s="44">
        <f t="shared" si="0"/>
        <v>1.0691885383147701</v>
      </c>
      <c r="L172" s="29"/>
      <c r="M172" s="50"/>
    </row>
    <row r="173" spans="2:13" hidden="1" outlineLevel="1" x14ac:dyDescent="0.3">
      <c r="B173" s="42" t="s">
        <v>147</v>
      </c>
      <c r="C173" s="42"/>
      <c r="D173" s="43">
        <v>-990.98664500000007</v>
      </c>
      <c r="E173" s="29">
        <f t="shared" si="1"/>
        <v>-1008.037</v>
      </c>
      <c r="F173" s="43">
        <f t="shared" si="1"/>
        <v>-733</v>
      </c>
      <c r="G173" s="29">
        <f t="shared" si="1"/>
        <v>-884.92521499999998</v>
      </c>
      <c r="H173" s="44">
        <f t="shared" si="0"/>
        <v>-1.6914413855840582E-2</v>
      </c>
      <c r="L173" s="29"/>
      <c r="M173" s="50"/>
    </row>
    <row r="174" spans="2:13" hidden="1" outlineLevel="1" x14ac:dyDescent="0.3">
      <c r="B174" s="42" t="s">
        <v>148</v>
      </c>
      <c r="C174" s="42"/>
      <c r="D174" s="43">
        <v>-780.25628700000129</v>
      </c>
      <c r="E174" s="29">
        <f t="shared" si="1"/>
        <v>-241</v>
      </c>
      <c r="F174" s="43">
        <f t="shared" si="1"/>
        <v>-13</v>
      </c>
      <c r="G174" s="29">
        <f t="shared" si="1"/>
        <v>-2.493099999946935E-2</v>
      </c>
      <c r="H174" s="44">
        <f t="shared" si="0"/>
        <v>2.2375779543568517</v>
      </c>
      <c r="L174" s="29"/>
      <c r="M174" s="50"/>
    </row>
    <row r="175" spans="2:13" ht="15" hidden="1" outlineLevel="1" thickBot="1" x14ac:dyDescent="0.35">
      <c r="B175" s="45" t="s">
        <v>101</v>
      </c>
      <c r="C175" s="45"/>
      <c r="D175" s="46">
        <v>3779.1808960000008</v>
      </c>
      <c r="E175" s="47">
        <f>+SUM(E169:E174)</f>
        <v>1800.6869999999997</v>
      </c>
      <c r="F175" s="46">
        <f>+SUM(F169:F174)</f>
        <v>1951.5129690000003</v>
      </c>
      <c r="G175" s="47">
        <f>+SUM(G169:G174)</f>
        <v>2313.586147999998</v>
      </c>
      <c r="H175" s="48">
        <f t="shared" si="0"/>
        <v>1.0987439216254695</v>
      </c>
    </row>
    <row r="176" spans="2:13" collapsed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1229-50A7-4DE0-B8F3-1505BE2193FF}">
  <sheetPr codeName="Munka6"/>
  <dimension ref="A1:F72"/>
  <sheetViews>
    <sheetView topLeftCell="A17" zoomScale="70" zoomScaleNormal="70" workbookViewId="0">
      <selection activeCell="E37" sqref="E37"/>
    </sheetView>
  </sheetViews>
  <sheetFormatPr defaultColWidth="8.77734375" defaultRowHeight="14.4" outlineLevelCol="1" x14ac:dyDescent="0.3"/>
  <cols>
    <col min="1" max="1" width="37.109375" bestFit="1" customWidth="1"/>
    <col min="2" max="2" width="29.77734375" customWidth="1" outlineLevel="1"/>
    <col min="3" max="5" width="29.77734375" customWidth="1"/>
    <col min="6" max="6" width="34.33203125" customWidth="1"/>
  </cols>
  <sheetData>
    <row r="1" spans="1:6" x14ac:dyDescent="0.3">
      <c r="C1" s="32">
        <v>44012</v>
      </c>
      <c r="D1" s="142">
        <v>43646</v>
      </c>
      <c r="E1" s="32">
        <v>43281</v>
      </c>
      <c r="F1" s="31">
        <v>42916</v>
      </c>
    </row>
    <row r="2" spans="1:6" x14ac:dyDescent="0.3">
      <c r="A2" s="34" t="s">
        <v>151</v>
      </c>
      <c r="B2" s="34"/>
      <c r="C2" s="36" t="s">
        <v>142</v>
      </c>
      <c r="D2" s="35" t="s">
        <v>142</v>
      </c>
      <c r="E2" s="36" t="s">
        <v>142</v>
      </c>
      <c r="F2" s="35" t="s">
        <v>142</v>
      </c>
    </row>
    <row r="3" spans="1:6" ht="27.6" x14ac:dyDescent="0.3">
      <c r="A3" s="38" t="s">
        <v>143</v>
      </c>
      <c r="B3" s="42" t="s">
        <v>153</v>
      </c>
      <c r="C3" s="40">
        <v>7529.115777</v>
      </c>
      <c r="D3" s="39">
        <v>8408</v>
      </c>
      <c r="E3" s="40">
        <v>10230.591</v>
      </c>
      <c r="F3" s="39">
        <v>9557.5337209999998</v>
      </c>
    </row>
    <row r="4" spans="1:6" ht="27.6" x14ac:dyDescent="0.3">
      <c r="A4" s="42" t="s">
        <v>144</v>
      </c>
      <c r="B4" s="42" t="s">
        <v>154</v>
      </c>
      <c r="C4" s="29">
        <v>1824.9811460000001</v>
      </c>
      <c r="D4" s="43">
        <v>1594</v>
      </c>
      <c r="E4" s="29">
        <v>626.95699999999999</v>
      </c>
      <c r="F4" s="43">
        <v>837.77375500000005</v>
      </c>
    </row>
    <row r="5" spans="1:6" x14ac:dyDescent="0.3">
      <c r="A5" s="42" t="s">
        <v>145</v>
      </c>
      <c r="B5" s="42" t="s">
        <v>155</v>
      </c>
      <c r="C5" s="29">
        <v>5133.0467189999999</v>
      </c>
      <c r="D5" s="43">
        <v>7841</v>
      </c>
      <c r="E5" s="29">
        <v>7581.6869999999999</v>
      </c>
      <c r="F5" s="43">
        <v>6216.3799730000001</v>
      </c>
    </row>
    <row r="6" spans="1:6" x14ac:dyDescent="0.3">
      <c r="A6" s="42" t="s">
        <v>146</v>
      </c>
      <c r="B6" s="42" t="s">
        <v>156</v>
      </c>
      <c r="C6" s="29">
        <v>5652.4070730000003</v>
      </c>
      <c r="D6" s="43">
        <v>7038</v>
      </c>
      <c r="E6" s="29">
        <v>6943.4889999999996</v>
      </c>
      <c r="F6" s="43">
        <v>5120.8255200000003</v>
      </c>
    </row>
    <row r="7" spans="1:6" x14ac:dyDescent="0.3">
      <c r="A7" s="42" t="s">
        <v>147</v>
      </c>
      <c r="B7" s="42" t="s">
        <v>157</v>
      </c>
      <c r="C7" s="29">
        <v>221.013226</v>
      </c>
      <c r="D7" s="43">
        <v>303</v>
      </c>
      <c r="E7" s="29">
        <v>346.96300000000002</v>
      </c>
      <c r="F7" s="43">
        <v>346</v>
      </c>
    </row>
    <row r="8" spans="1:6" ht="15" thickBot="1" x14ac:dyDescent="0.35">
      <c r="A8" s="42" t="s">
        <v>148</v>
      </c>
      <c r="B8" s="42"/>
      <c r="C8" s="29">
        <v>-4197.0369069999997</v>
      </c>
      <c r="D8" s="43">
        <v>-7189</v>
      </c>
      <c r="E8" s="29">
        <v>-7043.9200000000019</v>
      </c>
      <c r="F8" s="43">
        <v>-3690</v>
      </c>
    </row>
    <row r="9" spans="1:6" ht="15" thickBot="1" x14ac:dyDescent="0.35">
      <c r="A9" s="45" t="s">
        <v>149</v>
      </c>
      <c r="B9" s="45"/>
      <c r="C9" s="47">
        <v>16163.527034000001</v>
      </c>
      <c r="D9" s="46">
        <f>SUM(D3:D8)</f>
        <v>17995</v>
      </c>
      <c r="E9" s="47">
        <v>18685.767</v>
      </c>
      <c r="F9" s="46">
        <v>18388.512969000003</v>
      </c>
    </row>
    <row r="10" spans="1:6" ht="27.6" x14ac:dyDescent="0.3">
      <c r="A10" s="42" t="s">
        <v>143</v>
      </c>
      <c r="B10" s="42"/>
      <c r="C10" s="29">
        <v>-6012.6980099999992</v>
      </c>
      <c r="D10" s="43">
        <v>-7250</v>
      </c>
      <c r="E10" s="29">
        <v>-9153</v>
      </c>
      <c r="F10" s="43">
        <v>-8444</v>
      </c>
    </row>
    <row r="11" spans="1:6" ht="27.6" x14ac:dyDescent="0.3">
      <c r="A11" s="42" t="s">
        <v>144</v>
      </c>
      <c r="B11" s="42"/>
      <c r="C11" s="29">
        <v>-279.25217900000001</v>
      </c>
      <c r="D11" s="43">
        <v>-324</v>
      </c>
      <c r="E11" s="29">
        <v>-194</v>
      </c>
      <c r="F11" s="43">
        <v>-280</v>
      </c>
    </row>
    <row r="12" spans="1:6" x14ac:dyDescent="0.3">
      <c r="A12" s="42" t="s">
        <v>145</v>
      </c>
      <c r="B12" s="42"/>
      <c r="C12" s="29">
        <v>-4719.0978519999999</v>
      </c>
      <c r="D12" s="43">
        <v>-6285</v>
      </c>
      <c r="E12" s="29">
        <v>-6325</v>
      </c>
      <c r="F12" s="43">
        <v>-5049</v>
      </c>
    </row>
    <row r="13" spans="1:6" x14ac:dyDescent="0.3">
      <c r="A13" s="42" t="s">
        <v>146</v>
      </c>
      <c r="B13" s="42"/>
      <c r="C13" s="29">
        <v>-5556.0948600000002</v>
      </c>
      <c r="D13" s="43">
        <v>-6684</v>
      </c>
      <c r="E13" s="29">
        <v>-6661</v>
      </c>
      <c r="F13" s="43">
        <v>-5262</v>
      </c>
    </row>
    <row r="14" spans="1:6" x14ac:dyDescent="0.3">
      <c r="A14" s="42" t="s">
        <v>147</v>
      </c>
      <c r="B14" s="42"/>
      <c r="C14" s="29">
        <v>-656.00283999999999</v>
      </c>
      <c r="D14" s="43">
        <v>-1018</v>
      </c>
      <c r="E14" s="29">
        <v>-1355</v>
      </c>
      <c r="F14" s="43">
        <v>-1079</v>
      </c>
    </row>
    <row r="15" spans="1:6" ht="15" thickBot="1" x14ac:dyDescent="0.35">
      <c r="A15" s="42" t="s">
        <v>148</v>
      </c>
      <c r="B15" s="42"/>
      <c r="C15" s="29">
        <v>4196.9958829999996</v>
      </c>
      <c r="D15" s="43">
        <v>6365</v>
      </c>
      <c r="E15" s="29">
        <v>6802.9200000000019</v>
      </c>
      <c r="F15" s="43">
        <v>3677</v>
      </c>
    </row>
    <row r="16" spans="1:6" ht="15" thickBot="1" x14ac:dyDescent="0.35">
      <c r="A16" s="45" t="s">
        <v>150</v>
      </c>
      <c r="B16" s="45"/>
      <c r="C16" s="47">
        <v>-13026.149858000001</v>
      </c>
      <c r="D16" s="46">
        <f>SUM(D10:D15)</f>
        <v>-15196</v>
      </c>
      <c r="E16" s="47">
        <v>-16885.079999999998</v>
      </c>
      <c r="F16" s="46">
        <v>-16437</v>
      </c>
    </row>
    <row r="17" spans="1:6" ht="27.6" x14ac:dyDescent="0.3">
      <c r="A17" s="42" t="s">
        <v>143</v>
      </c>
      <c r="B17" s="42" t="s">
        <v>153</v>
      </c>
      <c r="C17" s="29">
        <v>1516.4177670000004</v>
      </c>
      <c r="D17" s="43">
        <v>1158</v>
      </c>
      <c r="E17" s="29">
        <v>1077.5910000000003</v>
      </c>
      <c r="F17" s="43">
        <v>1113.5337209999998</v>
      </c>
    </row>
    <row r="18" spans="1:6" ht="27.6" x14ac:dyDescent="0.3">
      <c r="A18" s="42" t="s">
        <v>144</v>
      </c>
      <c r="B18" s="42" t="s">
        <v>154</v>
      </c>
      <c r="C18" s="29">
        <v>1545.728967</v>
      </c>
      <c r="D18" s="43">
        <v>1270</v>
      </c>
      <c r="E18" s="29">
        <v>432.95699999999999</v>
      </c>
      <c r="F18" s="43">
        <v>557.77375500000005</v>
      </c>
    </row>
    <row r="19" spans="1:6" x14ac:dyDescent="0.3">
      <c r="A19" s="42" t="s">
        <v>145</v>
      </c>
      <c r="B19" s="42" t="s">
        <v>155</v>
      </c>
      <c r="C19" s="29">
        <v>413.94886700000006</v>
      </c>
      <c r="D19" s="43">
        <v>1556</v>
      </c>
      <c r="E19" s="29">
        <v>1256.6869999999999</v>
      </c>
      <c r="F19" s="43">
        <v>1167.3799730000001</v>
      </c>
    </row>
    <row r="20" spans="1:6" x14ac:dyDescent="0.3">
      <c r="A20" s="42" t="s">
        <v>146</v>
      </c>
      <c r="B20" s="42" t="s">
        <v>156</v>
      </c>
      <c r="C20" s="29">
        <v>96.312212999999971</v>
      </c>
      <c r="D20" s="43">
        <v>354</v>
      </c>
      <c r="E20" s="29">
        <v>282.48899999999958</v>
      </c>
      <c r="F20" s="43">
        <v>-141.17447999999968</v>
      </c>
    </row>
    <row r="21" spans="1:6" x14ac:dyDescent="0.3">
      <c r="A21" s="42" t="s">
        <v>147</v>
      </c>
      <c r="B21" s="42" t="s">
        <v>157</v>
      </c>
      <c r="C21" s="29">
        <v>-434.98961399999996</v>
      </c>
      <c r="D21" s="43">
        <v>-715</v>
      </c>
      <c r="E21" s="29">
        <v>-1008.037</v>
      </c>
      <c r="F21" s="43">
        <v>-733</v>
      </c>
    </row>
    <row r="22" spans="1:6" ht="15" thickBot="1" x14ac:dyDescent="0.35">
      <c r="A22" s="42" t="s">
        <v>148</v>
      </c>
      <c r="B22" s="42"/>
      <c r="C22" s="29">
        <v>-4.1023999999766136E-2</v>
      </c>
      <c r="D22" s="43">
        <v>-824</v>
      </c>
      <c r="E22" s="29">
        <v>-241</v>
      </c>
      <c r="F22" s="43">
        <v>-13</v>
      </c>
    </row>
    <row r="23" spans="1:6" ht="15" thickBot="1" x14ac:dyDescent="0.35">
      <c r="A23" s="45" t="s">
        <v>101</v>
      </c>
      <c r="B23" s="45"/>
      <c r="C23" s="47">
        <v>3137.3771760000009</v>
      </c>
      <c r="D23" s="46">
        <f>SUM(D17:D22)</f>
        <v>2799</v>
      </c>
      <c r="E23" s="47">
        <v>1800.6869999999997</v>
      </c>
      <c r="F23" s="46">
        <v>1951.5129690000003</v>
      </c>
    </row>
    <row r="26" spans="1:6" x14ac:dyDescent="0.3">
      <c r="A26" s="151" t="s">
        <v>197</v>
      </c>
      <c r="B26" s="151" t="s">
        <v>198</v>
      </c>
      <c r="C26" s="29"/>
      <c r="D26" s="29"/>
      <c r="E26" s="29"/>
    </row>
    <row r="27" spans="1:6" x14ac:dyDescent="0.3">
      <c r="A27" s="152" t="s">
        <v>199</v>
      </c>
      <c r="B27" s="152" t="s">
        <v>200</v>
      </c>
      <c r="C27" s="148">
        <v>42916</v>
      </c>
      <c r="D27" s="148">
        <v>43281</v>
      </c>
      <c r="E27" s="148">
        <v>43646</v>
      </c>
      <c r="F27" s="148">
        <v>44012</v>
      </c>
    </row>
    <row r="28" spans="1:6" x14ac:dyDescent="0.3">
      <c r="A28" s="29" t="s">
        <v>149</v>
      </c>
      <c r="B28" s="29" t="s">
        <v>195</v>
      </c>
      <c r="C28" s="29">
        <f>F3</f>
        <v>9557.5337209999998</v>
      </c>
      <c r="D28" s="43">
        <v>4934</v>
      </c>
      <c r="E28" s="29">
        <f>D3</f>
        <v>8408</v>
      </c>
      <c r="F28" s="43">
        <f>C3</f>
        <v>7529.115777</v>
      </c>
    </row>
    <row r="29" spans="1:6" ht="15" thickBot="1" x14ac:dyDescent="0.35">
      <c r="A29" s="29" t="s">
        <v>150</v>
      </c>
      <c r="B29" s="29" t="s">
        <v>196</v>
      </c>
      <c r="C29" s="29">
        <f>F10</f>
        <v>-8444</v>
      </c>
      <c r="D29" s="43">
        <f>-4242-24-167</f>
        <v>-4433</v>
      </c>
      <c r="E29" s="29">
        <f>D10</f>
        <v>-7250</v>
      </c>
      <c r="F29" s="43">
        <f>C10</f>
        <v>-6012.6980099999992</v>
      </c>
    </row>
    <row r="30" spans="1:6" ht="15" thickBot="1" x14ac:dyDescent="0.35">
      <c r="A30" s="146" t="s">
        <v>101</v>
      </c>
      <c r="B30" s="146" t="s">
        <v>101</v>
      </c>
      <c r="C30" s="146">
        <f>F17</f>
        <v>1113.5337209999998</v>
      </c>
      <c r="D30" s="145">
        <v>502</v>
      </c>
      <c r="E30" s="146">
        <f>E28+E29</f>
        <v>1158</v>
      </c>
      <c r="F30" s="145">
        <f>F28+F29</f>
        <v>1516.4177670000008</v>
      </c>
    </row>
    <row r="33" spans="1:6" x14ac:dyDescent="0.3">
      <c r="A33" s="143" t="s">
        <v>197</v>
      </c>
      <c r="B33" s="143" t="s">
        <v>198</v>
      </c>
    </row>
    <row r="34" spans="1:6" x14ac:dyDescent="0.3">
      <c r="A34" s="112" t="s">
        <v>193</v>
      </c>
      <c r="B34" s="112" t="s">
        <v>194</v>
      </c>
      <c r="C34" s="148">
        <v>42916</v>
      </c>
      <c r="D34" s="148">
        <v>43281</v>
      </c>
      <c r="E34" s="148">
        <v>43646</v>
      </c>
      <c r="F34" s="148">
        <v>44012</v>
      </c>
    </row>
    <row r="35" spans="1:6" x14ac:dyDescent="0.3">
      <c r="A35" t="s">
        <v>149</v>
      </c>
      <c r="B35" t="s">
        <v>195</v>
      </c>
      <c r="C35" s="29">
        <f>F4</f>
        <v>837.77375500000005</v>
      </c>
      <c r="D35" s="43">
        <f>E4</f>
        <v>626.95699999999999</v>
      </c>
      <c r="E35" s="29">
        <f>D4</f>
        <v>1594</v>
      </c>
      <c r="F35" s="43">
        <f>C4</f>
        <v>1824.9811460000001</v>
      </c>
    </row>
    <row r="36" spans="1:6" ht="15" thickBot="1" x14ac:dyDescent="0.35">
      <c r="A36" t="s">
        <v>150</v>
      </c>
      <c r="B36" t="s">
        <v>196</v>
      </c>
      <c r="C36" s="29">
        <f>F11</f>
        <v>-280</v>
      </c>
      <c r="D36" s="43">
        <f>E11</f>
        <v>-194</v>
      </c>
      <c r="E36" s="29">
        <f>D11</f>
        <v>-324</v>
      </c>
      <c r="F36" s="43">
        <f>C11</f>
        <v>-279.25217900000001</v>
      </c>
    </row>
    <row r="37" spans="1:6" ht="15" thickBot="1" x14ac:dyDescent="0.35">
      <c r="A37" s="144" t="s">
        <v>101</v>
      </c>
      <c r="B37" s="144" t="s">
        <v>101</v>
      </c>
      <c r="C37" s="146">
        <f>F18</f>
        <v>557.77375500000005</v>
      </c>
      <c r="D37" s="145">
        <f>E18</f>
        <v>432.95699999999999</v>
      </c>
      <c r="E37" s="146">
        <f>E35+E36</f>
        <v>1270</v>
      </c>
      <c r="F37" s="145">
        <f>F35+F36</f>
        <v>1545.728967</v>
      </c>
    </row>
    <row r="40" spans="1:6" x14ac:dyDescent="0.3">
      <c r="A40" s="143" t="s">
        <v>197</v>
      </c>
      <c r="B40" s="143" t="s">
        <v>198</v>
      </c>
    </row>
    <row r="41" spans="1:6" x14ac:dyDescent="0.3">
      <c r="A41" s="112" t="s">
        <v>145</v>
      </c>
      <c r="B41" s="112" t="s">
        <v>155</v>
      </c>
      <c r="C41" s="148">
        <v>42916</v>
      </c>
      <c r="D41" s="148">
        <v>43281</v>
      </c>
      <c r="E41" s="148">
        <v>43646</v>
      </c>
      <c r="F41" s="148">
        <v>44012</v>
      </c>
    </row>
    <row r="42" spans="1:6" x14ac:dyDescent="0.3">
      <c r="A42" t="s">
        <v>149</v>
      </c>
      <c r="B42" t="s">
        <v>195</v>
      </c>
      <c r="C42" s="29">
        <f>F5</f>
        <v>6216.3799730000001</v>
      </c>
      <c r="D42" s="43">
        <f>E5</f>
        <v>7581.6869999999999</v>
      </c>
      <c r="E42" s="29">
        <f>D5</f>
        <v>7841</v>
      </c>
      <c r="F42" s="43">
        <f>C5</f>
        <v>5133.0467189999999</v>
      </c>
    </row>
    <row r="43" spans="1:6" ht="15" thickBot="1" x14ac:dyDescent="0.35">
      <c r="A43" t="s">
        <v>150</v>
      </c>
      <c r="B43" t="s">
        <v>196</v>
      </c>
      <c r="C43" s="29">
        <f>F12</f>
        <v>-5049</v>
      </c>
      <c r="D43" s="43">
        <f>E12</f>
        <v>-6325</v>
      </c>
      <c r="E43" s="29">
        <f>D12</f>
        <v>-6285</v>
      </c>
      <c r="F43" s="43">
        <f>C12</f>
        <v>-4719.0978519999999</v>
      </c>
    </row>
    <row r="44" spans="1:6" ht="15" thickBot="1" x14ac:dyDescent="0.35">
      <c r="A44" s="144" t="s">
        <v>101</v>
      </c>
      <c r="B44" s="144" t="s">
        <v>101</v>
      </c>
      <c r="C44" s="146">
        <f>F19</f>
        <v>1167.3799730000001</v>
      </c>
      <c r="D44" s="145">
        <f>E19</f>
        <v>1256.6869999999999</v>
      </c>
      <c r="E44" s="146">
        <f>E42+E43</f>
        <v>1556</v>
      </c>
      <c r="F44" s="145">
        <f>F42+F43</f>
        <v>413.94886700000006</v>
      </c>
    </row>
    <row r="47" spans="1:6" x14ac:dyDescent="0.3">
      <c r="A47" s="143" t="s">
        <v>197</v>
      </c>
      <c r="B47" s="143" t="s">
        <v>198</v>
      </c>
    </row>
    <row r="48" spans="1:6" x14ac:dyDescent="0.3">
      <c r="A48" s="112" t="s">
        <v>146</v>
      </c>
      <c r="B48" s="112" t="s">
        <v>201</v>
      </c>
      <c r="C48" s="148">
        <v>42916</v>
      </c>
      <c r="D48" s="148">
        <v>43281</v>
      </c>
      <c r="E48" s="148">
        <v>43646</v>
      </c>
      <c r="F48" s="148">
        <v>44012</v>
      </c>
    </row>
    <row r="49" spans="1:6" x14ac:dyDescent="0.3">
      <c r="A49" t="s">
        <v>149</v>
      </c>
      <c r="B49" t="s">
        <v>195</v>
      </c>
      <c r="C49" s="29">
        <f>F6</f>
        <v>5120.8255200000003</v>
      </c>
      <c r="D49" s="43">
        <f>E6</f>
        <v>6943.4889999999996</v>
      </c>
      <c r="E49" s="29">
        <f>D6</f>
        <v>7038</v>
      </c>
      <c r="F49" s="43">
        <f>C6</f>
        <v>5652.4070730000003</v>
      </c>
    </row>
    <row r="50" spans="1:6" ht="15" thickBot="1" x14ac:dyDescent="0.35">
      <c r="A50" t="s">
        <v>150</v>
      </c>
      <c r="B50" t="s">
        <v>196</v>
      </c>
      <c r="C50" s="29">
        <f>F13</f>
        <v>-5262</v>
      </c>
      <c r="D50" s="43">
        <f>E13</f>
        <v>-6661</v>
      </c>
      <c r="E50" s="29">
        <f>D13</f>
        <v>-6684</v>
      </c>
      <c r="F50" s="43">
        <f>C13</f>
        <v>-5556.0948600000002</v>
      </c>
    </row>
    <row r="51" spans="1:6" ht="15" thickBot="1" x14ac:dyDescent="0.35">
      <c r="A51" s="144" t="s">
        <v>101</v>
      </c>
      <c r="B51" s="144" t="s">
        <v>101</v>
      </c>
      <c r="C51" s="146">
        <f>F20</f>
        <v>-141.17447999999968</v>
      </c>
      <c r="D51" s="145">
        <f>E20</f>
        <v>282.48899999999958</v>
      </c>
      <c r="E51" s="146">
        <f>E49+E50</f>
        <v>354</v>
      </c>
      <c r="F51" s="145">
        <f>F49+F50</f>
        <v>96.312213000000156</v>
      </c>
    </row>
    <row r="54" spans="1:6" x14ac:dyDescent="0.3">
      <c r="A54" s="143" t="s">
        <v>197</v>
      </c>
      <c r="B54" s="143" t="s">
        <v>198</v>
      </c>
    </row>
    <row r="55" spans="1:6" x14ac:dyDescent="0.3">
      <c r="A55" s="112" t="s">
        <v>147</v>
      </c>
      <c r="B55" s="112" t="s">
        <v>157</v>
      </c>
      <c r="C55" s="148">
        <v>42916</v>
      </c>
      <c r="D55" s="148">
        <v>43281</v>
      </c>
      <c r="E55" s="148">
        <v>43646</v>
      </c>
      <c r="F55" s="148">
        <v>44012</v>
      </c>
    </row>
    <row r="56" spans="1:6" x14ac:dyDescent="0.3">
      <c r="A56" t="s">
        <v>149</v>
      </c>
      <c r="B56" t="s">
        <v>195</v>
      </c>
      <c r="C56" s="29">
        <f>F7</f>
        <v>346</v>
      </c>
      <c r="D56" s="43">
        <f>E7</f>
        <v>346.96300000000002</v>
      </c>
      <c r="E56" s="29">
        <f>D7</f>
        <v>303</v>
      </c>
      <c r="F56" s="43">
        <f>C7</f>
        <v>221.013226</v>
      </c>
    </row>
    <row r="57" spans="1:6" ht="15" thickBot="1" x14ac:dyDescent="0.35">
      <c r="A57" t="s">
        <v>150</v>
      </c>
      <c r="B57" t="s">
        <v>196</v>
      </c>
      <c r="C57" s="29">
        <f>F14</f>
        <v>-1079</v>
      </c>
      <c r="D57" s="43">
        <f>E14</f>
        <v>-1355</v>
      </c>
      <c r="E57" s="29">
        <f>D14</f>
        <v>-1018</v>
      </c>
      <c r="F57" s="43">
        <f>C14</f>
        <v>-656.00283999999999</v>
      </c>
    </row>
    <row r="58" spans="1:6" ht="15" thickBot="1" x14ac:dyDescent="0.35">
      <c r="A58" s="144" t="s">
        <v>101</v>
      </c>
      <c r="B58" s="144" t="s">
        <v>101</v>
      </c>
      <c r="C58" s="146">
        <f>F21</f>
        <v>-733</v>
      </c>
      <c r="D58" s="145">
        <f>E21</f>
        <v>-1008.037</v>
      </c>
      <c r="E58" s="146">
        <f>E56+E57</f>
        <v>-715</v>
      </c>
      <c r="F58" s="145">
        <f>F56+F57</f>
        <v>-434.98961399999996</v>
      </c>
    </row>
    <row r="61" spans="1:6" x14ac:dyDescent="0.3">
      <c r="A61" s="143" t="s">
        <v>197</v>
      </c>
      <c r="B61" s="143" t="s">
        <v>198</v>
      </c>
    </row>
    <row r="62" spans="1:6" x14ac:dyDescent="0.3">
      <c r="A62" s="112" t="s">
        <v>202</v>
      </c>
      <c r="B62" s="112" t="s">
        <v>205</v>
      </c>
      <c r="C62" s="148">
        <v>42916</v>
      </c>
      <c r="D62" s="148">
        <v>43281</v>
      </c>
      <c r="E62" s="148">
        <v>43646</v>
      </c>
      <c r="F62" s="148">
        <v>44012</v>
      </c>
    </row>
    <row r="63" spans="1:6" x14ac:dyDescent="0.3">
      <c r="A63" t="s">
        <v>149</v>
      </c>
      <c r="B63" t="s">
        <v>195</v>
      </c>
      <c r="C63" s="29">
        <f t="shared" ref="C63:D63" si="0">C56+C49+C42+C35+C28</f>
        <v>22078.512969000003</v>
      </c>
      <c r="D63" s="43">
        <f t="shared" si="0"/>
        <v>20433.095999999998</v>
      </c>
      <c r="E63" s="29">
        <f>D8</f>
        <v>-7189</v>
      </c>
      <c r="F63" s="43">
        <f>C8</f>
        <v>-4197.0369069999997</v>
      </c>
    </row>
    <row r="64" spans="1:6" ht="15" thickBot="1" x14ac:dyDescent="0.35">
      <c r="A64" t="s">
        <v>150</v>
      </c>
      <c r="B64" t="s">
        <v>196</v>
      </c>
      <c r="C64" s="29">
        <f>C57+C50+C43+C36+C29</f>
        <v>-20114</v>
      </c>
      <c r="D64" s="43">
        <f>D57+D50+D43+D36+D29</f>
        <v>-18968</v>
      </c>
      <c r="E64" s="29">
        <f>D15</f>
        <v>6365</v>
      </c>
      <c r="F64" s="43">
        <f>C15</f>
        <v>4196.9958829999996</v>
      </c>
    </row>
    <row r="65" spans="1:6" ht="15" thickBot="1" x14ac:dyDescent="0.35">
      <c r="A65" s="144" t="s">
        <v>101</v>
      </c>
      <c r="B65" s="144" t="s">
        <v>101</v>
      </c>
      <c r="C65" s="146">
        <f>C58+C51+C44+C37+C30</f>
        <v>1964.5129690000003</v>
      </c>
      <c r="D65" s="145">
        <f>D58+D51+D44+D37+D30</f>
        <v>1466.0959999999995</v>
      </c>
      <c r="E65" s="146">
        <f>E63+E64</f>
        <v>-824</v>
      </c>
      <c r="F65" s="145">
        <f>F63+F64</f>
        <v>-4.1024000000106753E-2</v>
      </c>
    </row>
    <row r="68" spans="1:6" x14ac:dyDescent="0.3">
      <c r="A68" s="143" t="s">
        <v>197</v>
      </c>
      <c r="B68" s="143" t="s">
        <v>198</v>
      </c>
    </row>
    <row r="69" spans="1:6" x14ac:dyDescent="0.3">
      <c r="A69" s="112" t="s">
        <v>203</v>
      </c>
      <c r="B69" s="112" t="s">
        <v>204</v>
      </c>
      <c r="C69" s="148">
        <v>42916</v>
      </c>
      <c r="D69" s="148">
        <v>43281</v>
      </c>
      <c r="E69" s="148">
        <v>43646</v>
      </c>
      <c r="F69" s="148">
        <v>44012</v>
      </c>
    </row>
    <row r="70" spans="1:6" x14ac:dyDescent="0.3">
      <c r="A70" t="s">
        <v>149</v>
      </c>
      <c r="B70" t="s">
        <v>195</v>
      </c>
      <c r="C70" s="29">
        <f>C63+F8</f>
        <v>18388.512969000003</v>
      </c>
      <c r="D70" s="43">
        <f>D63+E8</f>
        <v>13389.175999999996</v>
      </c>
      <c r="F70" s="43"/>
    </row>
    <row r="71" spans="1:6" ht="15" thickBot="1" x14ac:dyDescent="0.35">
      <c r="A71" t="s">
        <v>150</v>
      </c>
      <c r="B71" t="s">
        <v>196</v>
      </c>
      <c r="C71" s="29">
        <f>C64+F15</f>
        <v>-16437</v>
      </c>
      <c r="D71" s="43">
        <f>D64+E15</f>
        <v>-12165.079999999998</v>
      </c>
      <c r="F71" s="43"/>
    </row>
    <row r="72" spans="1:6" ht="15" thickBot="1" x14ac:dyDescent="0.35">
      <c r="A72" s="144" t="s">
        <v>101</v>
      </c>
      <c r="B72" s="144" t="s">
        <v>101</v>
      </c>
      <c r="C72" s="146">
        <f>C65+F22</f>
        <v>1951.5129690000003</v>
      </c>
      <c r="D72" s="145">
        <f>D65+E22</f>
        <v>1225.0959999999995</v>
      </c>
      <c r="E72" s="144"/>
      <c r="F72" s="1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éves P&amp;L_mérleg</vt:lpstr>
      <vt:lpstr>éves P&amp;L_mérleg_EUR</vt:lpstr>
      <vt:lpstr>féléves P&amp;L_mérleg</vt:lpstr>
      <vt:lpstr>féléves P&amp;L_mérleg_EUR</vt:lpstr>
      <vt:lpstr>negyedéves P&amp;L_mérleg</vt:lpstr>
      <vt:lpstr>szegmensek</vt:lpstr>
      <vt:lpstr>negyedéves P&amp;L_mérleg_EUR</vt:lpstr>
      <vt:lpstr>szegmensek új </vt:lpstr>
      <vt:lpstr>szegmensek - féléves</vt:lpstr>
      <vt:lpstr>naturáliák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Szécsi Balázs</dc:creator>
  <cp:lastModifiedBy>Szécsi Balázs</cp:lastModifiedBy>
  <dcterms:created xsi:type="dcterms:W3CDTF">2018-10-09T07:53:33Z</dcterms:created>
  <dcterms:modified xsi:type="dcterms:W3CDTF">2025-04-11T07:44:55Z</dcterms:modified>
</cp:coreProperties>
</file>