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Fejlesztés\Projekt\Other_Marketing\Adattábla\Kiküldött\"/>
    </mc:Choice>
  </mc:AlternateContent>
  <xr:revisionPtr revIDLastSave="0" documentId="13_ncr:1_{849F0327-EA3A-445E-892E-A2C8AEB64BE9}" xr6:coauthVersionLast="47" xr6:coauthVersionMax="47" xr10:uidLastSave="{00000000-0000-0000-0000-000000000000}"/>
  <bookViews>
    <workbookView xWindow="-108" yWindow="-108" windowWidth="23256" windowHeight="13896" activeTab="4" xr2:uid="{605E8432-BFCE-4AA3-ADCE-7EBCE3D69CA7}"/>
  </bookViews>
  <sheets>
    <sheet name="éves P&amp;L_mérleg" sheetId="1" r:id="rId1"/>
    <sheet name="féléves P&amp;L_mérleg" sheetId="2" r:id="rId2"/>
    <sheet name="negyedéves P&amp;L_mérleg" sheetId="8" r:id="rId3"/>
    <sheet name="szegmensek" sheetId="5" state="hidden" r:id="rId4"/>
    <sheet name="szegmensek új " sheetId="11" r:id="rId5"/>
    <sheet name="szegmensek - féléves" sheetId="7" state="hidden" r:id="rId6"/>
    <sheet name="naturáliák" sheetId="12" r:id="rId7"/>
  </sheet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7" i="8" l="1"/>
  <c r="AG21" i="8" s="1"/>
  <c r="BL21" i="8" s="1"/>
  <c r="AG14" i="8"/>
  <c r="AG12" i="8"/>
  <c r="BL59" i="8"/>
  <c r="BL58" i="8"/>
  <c r="BL57" i="8"/>
  <c r="BL56" i="8"/>
  <c r="BL55" i="8"/>
  <c r="BL54" i="8"/>
  <c r="BL53" i="8"/>
  <c r="BL52" i="8"/>
  <c r="BL51" i="8"/>
  <c r="BL50" i="8"/>
  <c r="BL49" i="8"/>
  <c r="BL48" i="8"/>
  <c r="BL46" i="8"/>
  <c r="BL45" i="8"/>
  <c r="BL42" i="8"/>
  <c r="BL41" i="8"/>
  <c r="BL40" i="8"/>
  <c r="BL39" i="8"/>
  <c r="BL38" i="8"/>
  <c r="BL37" i="8"/>
  <c r="BL36" i="8"/>
  <c r="BL35" i="8"/>
  <c r="BL24" i="8"/>
  <c r="BL23" i="8"/>
  <c r="BL22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L8" i="8"/>
  <c r="BL7" i="8"/>
  <c r="BL6" i="8"/>
  <c r="BL5" i="8"/>
  <c r="AG46" i="8"/>
  <c r="U114" i="2"/>
  <c r="U113" i="2"/>
  <c r="U112" i="2"/>
  <c r="U111" i="2"/>
  <c r="U110" i="2"/>
  <c r="U109" i="2"/>
  <c r="U108" i="2"/>
  <c r="U106" i="2" s="1"/>
  <c r="U107" i="2"/>
  <c r="U104" i="2"/>
  <c r="U103" i="2"/>
  <c r="U102" i="2"/>
  <c r="U101" i="2"/>
  <c r="U100" i="2"/>
  <c r="U99" i="2"/>
  <c r="U98" i="2"/>
  <c r="U95" i="2"/>
  <c r="U94" i="2"/>
  <c r="U93" i="2"/>
  <c r="U92" i="2"/>
  <c r="U91" i="2"/>
  <c r="U90" i="2"/>
  <c r="U89" i="2"/>
  <c r="U88" i="2"/>
  <c r="U87" i="2"/>
  <c r="U82" i="2"/>
  <c r="U77" i="2"/>
  <c r="U76" i="2"/>
  <c r="U75" i="2"/>
  <c r="U74" i="2"/>
  <c r="U73" i="2"/>
  <c r="U72" i="2"/>
  <c r="U71" i="2"/>
  <c r="U69" i="2"/>
  <c r="U68" i="2"/>
  <c r="U65" i="2"/>
  <c r="U64" i="2"/>
  <c r="U63" i="2"/>
  <c r="U61" i="2"/>
  <c r="U60" i="2"/>
  <c r="U59" i="2"/>
  <c r="U58" i="2"/>
  <c r="U57" i="2"/>
  <c r="U56" i="2"/>
  <c r="U55" i="2"/>
  <c r="U24" i="2"/>
  <c r="U23" i="2"/>
  <c r="U22" i="2"/>
  <c r="U20" i="2"/>
  <c r="U19" i="2"/>
  <c r="U18" i="2"/>
  <c r="U16" i="2"/>
  <c r="U15" i="2"/>
  <c r="U13" i="2"/>
  <c r="U10" i="2"/>
  <c r="U9" i="2"/>
  <c r="U8" i="2"/>
  <c r="U7" i="2"/>
  <c r="U6" i="2"/>
  <c r="U5" i="2"/>
  <c r="K106" i="2"/>
  <c r="K97" i="2"/>
  <c r="K85" i="2"/>
  <c r="K67" i="2"/>
  <c r="K54" i="2"/>
  <c r="K12" i="2"/>
  <c r="K14" i="2" s="1"/>
  <c r="U86" i="2" l="1"/>
  <c r="U85" i="2" s="1"/>
  <c r="U116" i="2" s="1"/>
  <c r="K116" i="2"/>
  <c r="K79" i="2"/>
  <c r="U54" i="2"/>
  <c r="U97" i="2"/>
  <c r="U67" i="2"/>
  <c r="K17" i="2"/>
  <c r="U17" i="2" s="1"/>
  <c r="U14" i="2"/>
  <c r="U12" i="2"/>
  <c r="K21" i="2"/>
  <c r="U21" i="2" s="1"/>
  <c r="U79" i="2" l="1"/>
  <c r="V25" i="8" l="1"/>
  <c r="U25" i="8"/>
  <c r="BJ59" i="8"/>
  <c r="BJ58" i="8"/>
  <c r="BJ57" i="8"/>
  <c r="BJ56" i="8"/>
  <c r="BJ55" i="8"/>
  <c r="BJ54" i="8"/>
  <c r="BJ53" i="8"/>
  <c r="BJ52" i="8"/>
  <c r="BJ51" i="8"/>
  <c r="BJ50" i="8"/>
  <c r="BJ49" i="8"/>
  <c r="BJ48" i="8"/>
  <c r="BJ46" i="8"/>
  <c r="BJ45" i="8"/>
  <c r="BJ42" i="8"/>
  <c r="BJ41" i="8"/>
  <c r="BJ40" i="8"/>
  <c r="BJ39" i="8"/>
  <c r="BJ38" i="8"/>
  <c r="BJ37" i="8"/>
  <c r="BJ36" i="8"/>
  <c r="BJ35" i="8"/>
  <c r="BJ24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J5" i="8"/>
  <c r="BH42" i="8"/>
  <c r="BH41" i="8"/>
  <c r="BH40" i="8"/>
  <c r="BH39" i="8"/>
  <c r="BH38" i="8"/>
  <c r="BH37" i="8"/>
  <c r="BH36" i="8"/>
  <c r="BH35" i="8"/>
  <c r="BH45" i="8"/>
  <c r="BH24" i="8"/>
  <c r="BH23" i="8"/>
  <c r="BH22" i="8"/>
  <c r="BH21" i="8"/>
  <c r="BH20" i="8"/>
  <c r="BH19" i="8"/>
  <c r="BH18" i="8"/>
  <c r="BH17" i="8"/>
  <c r="BH16" i="8"/>
  <c r="BH15" i="8"/>
  <c r="BH14" i="8"/>
  <c r="BH13" i="8"/>
  <c r="BH12" i="8"/>
  <c r="BH11" i="8"/>
  <c r="BH10" i="8"/>
  <c r="BH9" i="8"/>
  <c r="BH8" i="8"/>
  <c r="BH7" i="8"/>
  <c r="BH6" i="8"/>
  <c r="BH5" i="8"/>
  <c r="K109" i="11" l="1"/>
  <c r="BK49" i="8"/>
  <c r="BK53" i="8"/>
  <c r="BK51" i="8"/>
  <c r="BK57" i="8"/>
  <c r="BK58" i="8"/>
  <c r="BK55" i="8"/>
  <c r="BK41" i="8" l="1"/>
  <c r="BI41" i="8"/>
  <c r="BG41" i="8"/>
  <c r="BK40" i="8"/>
  <c r="BI40" i="8"/>
  <c r="BG40" i="8"/>
  <c r="BK39" i="8"/>
  <c r="BI39" i="8"/>
  <c r="BG39" i="8"/>
  <c r="BI38" i="8"/>
  <c r="BG38" i="8"/>
  <c r="BK37" i="8"/>
  <c r="BI37" i="8"/>
  <c r="BG37" i="8"/>
  <c r="BK12" i="8"/>
  <c r="BK59" i="8"/>
  <c r="BK56" i="8"/>
  <c r="BK54" i="8"/>
  <c r="BK52" i="8"/>
  <c r="BK50" i="8"/>
  <c r="BK48" i="8"/>
  <c r="BK46" i="8"/>
  <c r="BK45" i="8"/>
  <c r="BK42" i="8"/>
  <c r="BK38" i="8"/>
  <c r="BK36" i="8"/>
  <c r="BK35" i="8"/>
  <c r="BK24" i="8"/>
  <c r="BK23" i="8"/>
  <c r="BK22" i="8"/>
  <c r="BK21" i="8"/>
  <c r="BK20" i="8"/>
  <c r="BK19" i="8"/>
  <c r="BK18" i="8"/>
  <c r="BK17" i="8"/>
  <c r="BK16" i="8"/>
  <c r="BK15" i="8"/>
  <c r="BK14" i="8"/>
  <c r="BK13" i="8"/>
  <c r="BK11" i="8"/>
  <c r="BK10" i="8"/>
  <c r="BK9" i="8"/>
  <c r="BK8" i="8"/>
  <c r="BK7" i="8"/>
  <c r="BK6" i="8"/>
  <c r="BK5" i="8"/>
  <c r="AF46" i="8"/>
  <c r="J48" i="2" l="1"/>
  <c r="T48" i="2" s="1"/>
  <c r="J47" i="2"/>
  <c r="T47" i="2" s="1"/>
  <c r="J46" i="2"/>
  <c r="T46" i="2" s="1"/>
  <c r="J44" i="2"/>
  <c r="T44" i="2" s="1"/>
  <c r="J43" i="2"/>
  <c r="T43" i="2" s="1"/>
  <c r="J42" i="2"/>
  <c r="T42" i="2" s="1"/>
  <c r="J40" i="2"/>
  <c r="T40" i="2" s="1"/>
  <c r="J38" i="2"/>
  <c r="T38" i="2" s="1"/>
  <c r="J36" i="2"/>
  <c r="T36" i="2" s="1"/>
  <c r="J35" i="2"/>
  <c r="T35" i="2" s="1"/>
  <c r="J34" i="2"/>
  <c r="T34" i="2" s="1"/>
  <c r="J33" i="2"/>
  <c r="T33" i="2" s="1"/>
  <c r="J32" i="2"/>
  <c r="T32" i="2" s="1"/>
  <c r="J31" i="2"/>
  <c r="T31" i="2" s="1"/>
  <c r="T67" i="1"/>
  <c r="U67" i="1"/>
  <c r="V67" i="1"/>
  <c r="W67" i="1"/>
  <c r="X67" i="1"/>
  <c r="Y67" i="1"/>
  <c r="Z67" i="1"/>
  <c r="S67" i="1"/>
  <c r="N35" i="1" l="1"/>
  <c r="N6" i="1"/>
  <c r="AB6" i="12" l="1"/>
  <c r="M41" i="12"/>
  <c r="N41" i="12" s="1"/>
  <c r="N74" i="12"/>
  <c r="N67" i="12"/>
  <c r="N59" i="12"/>
  <c r="N39" i="12"/>
  <c r="N29" i="12"/>
  <c r="N11" i="12"/>
  <c r="R117" i="11"/>
  <c r="N19" i="1" l="1"/>
  <c r="Z19" i="1" s="1"/>
  <c r="Z62" i="1"/>
  <c r="N47" i="1"/>
  <c r="Z47" i="1" s="1"/>
  <c r="Z185" i="1"/>
  <c r="Z184" i="1"/>
  <c r="Z181" i="1"/>
  <c r="Z180" i="1"/>
  <c r="Z179" i="1"/>
  <c r="Z178" i="1"/>
  <c r="Z177" i="1"/>
  <c r="Z176" i="1"/>
  <c r="Z175" i="1"/>
  <c r="Z174" i="1"/>
  <c r="Z173" i="1"/>
  <c r="Z172" i="1"/>
  <c r="Z170" i="1"/>
  <c r="Z169" i="1"/>
  <c r="Z168" i="1"/>
  <c r="Z167" i="1"/>
  <c r="Z166" i="1"/>
  <c r="Z165" i="1"/>
  <c r="Z164" i="1"/>
  <c r="Z171" i="1" s="1"/>
  <c r="Z162" i="1"/>
  <c r="Z160" i="1"/>
  <c r="Z159" i="1"/>
  <c r="Z157" i="1"/>
  <c r="Z156" i="1"/>
  <c r="Z155" i="1"/>
  <c r="Z154" i="1"/>
  <c r="Z153" i="1"/>
  <c r="Z152" i="1"/>
  <c r="Z150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92" i="1"/>
  <c r="Z91" i="1"/>
  <c r="Z90" i="1"/>
  <c r="Z88" i="1"/>
  <c r="Z87" i="1"/>
  <c r="Z86" i="1"/>
  <c r="Z83" i="1"/>
  <c r="Z81" i="1"/>
  <c r="Z79" i="1"/>
  <c r="Z78" i="1"/>
  <c r="Z77" i="1"/>
  <c r="Z76" i="1"/>
  <c r="Z75" i="1"/>
  <c r="Z74" i="1"/>
  <c r="Z73" i="1"/>
  <c r="Z64" i="1"/>
  <c r="Z63" i="1"/>
  <c r="Z61" i="1"/>
  <c r="Z60" i="1"/>
  <c r="Z59" i="1"/>
  <c r="Z58" i="1"/>
  <c r="Z57" i="1"/>
  <c r="Z54" i="1"/>
  <c r="Z53" i="1"/>
  <c r="Z52" i="1"/>
  <c r="Z51" i="1"/>
  <c r="Z50" i="1"/>
  <c r="Z49" i="1"/>
  <c r="Z48" i="1"/>
  <c r="Z45" i="1"/>
  <c r="Z43" i="1"/>
  <c r="Z42" i="1"/>
  <c r="Z41" i="1"/>
  <c r="Z40" i="1"/>
  <c r="Z39" i="1"/>
  <c r="Z37" i="1"/>
  <c r="Z36" i="1"/>
  <c r="Z29" i="1"/>
  <c r="Z27" i="1"/>
  <c r="Z26" i="1"/>
  <c r="Z25" i="1"/>
  <c r="Z24" i="1"/>
  <c r="Z22" i="1"/>
  <c r="Z21" i="1"/>
  <c r="Z20" i="1"/>
  <c r="Z17" i="1"/>
  <c r="Z16" i="1"/>
  <c r="Z15" i="1"/>
  <c r="Z14" i="1"/>
  <c r="Z12" i="1"/>
  <c r="Z11" i="1"/>
  <c r="Z10" i="1"/>
  <c r="Z9" i="1"/>
  <c r="Z8" i="1"/>
  <c r="Z7" i="1"/>
  <c r="Z84" i="1"/>
  <c r="N80" i="1"/>
  <c r="N82" i="1" s="1"/>
  <c r="N85" i="1" s="1"/>
  <c r="N89" i="1" s="1"/>
  <c r="Z89" i="1" s="1"/>
  <c r="N56" i="1"/>
  <c r="N34" i="1"/>
  <c r="Z34" i="1" s="1"/>
  <c r="Z6" i="1"/>
  <c r="Z82" i="1" l="1"/>
  <c r="N66" i="1"/>
  <c r="Z148" i="1"/>
  <c r="Z158" i="1" s="1"/>
  <c r="Z161" i="1" s="1"/>
  <c r="Z163" i="1" s="1"/>
  <c r="Z182" i="1"/>
  <c r="Z183" i="1" s="1"/>
  <c r="Z186" i="1" s="1"/>
  <c r="Z35" i="1"/>
  <c r="Z32" i="1"/>
  <c r="N32" i="1"/>
  <c r="Z85" i="1"/>
  <c r="Z56" i="1"/>
  <c r="Z66" i="1" s="1"/>
  <c r="Z80" i="1"/>
  <c r="BF36" i="8"/>
  <c r="BF37" i="8"/>
  <c r="BF38" i="8"/>
  <c r="BF39" i="8"/>
  <c r="BF40" i="8"/>
  <c r="BF41" i="8"/>
  <c r="BF49" i="8"/>
  <c r="BF50" i="8"/>
  <c r="BF51" i="8"/>
  <c r="BF52" i="8"/>
  <c r="BF53" i="8"/>
  <c r="BF54" i="8"/>
  <c r="BF55" i="8"/>
  <c r="BF56" i="8"/>
  <c r="BF57" i="8"/>
  <c r="BF58" i="8"/>
  <c r="BC46" i="8"/>
  <c r="BI46" i="8"/>
  <c r="BG46" i="8"/>
  <c r="BI49" i="8"/>
  <c r="BI50" i="8"/>
  <c r="BI51" i="8"/>
  <c r="BI52" i="8"/>
  <c r="BI53" i="8"/>
  <c r="BI54" i="8"/>
  <c r="BI55" i="8"/>
  <c r="BI56" i="8"/>
  <c r="BI57" i="8"/>
  <c r="BI58" i="8"/>
  <c r="BI59" i="8"/>
  <c r="BI36" i="8"/>
  <c r="BI42" i="8"/>
  <c r="BI48" i="8"/>
  <c r="BI45" i="8"/>
  <c r="BI35" i="8"/>
  <c r="BI24" i="8"/>
  <c r="BI23" i="8"/>
  <c r="BI22" i="8"/>
  <c r="BI21" i="8"/>
  <c r="BI20" i="8"/>
  <c r="BI19" i="8"/>
  <c r="BI18" i="8"/>
  <c r="BI17" i="8"/>
  <c r="BI16" i="8"/>
  <c r="BI15" i="8"/>
  <c r="BI14" i="8"/>
  <c r="BI13" i="8"/>
  <c r="BI12" i="8"/>
  <c r="BI11" i="8"/>
  <c r="BI10" i="8"/>
  <c r="BI9" i="8"/>
  <c r="BI8" i="8"/>
  <c r="BI7" i="8"/>
  <c r="BI6" i="8"/>
  <c r="BI5" i="8"/>
  <c r="AD46" i="8"/>
  <c r="T114" i="2"/>
  <c r="T113" i="2"/>
  <c r="T112" i="2"/>
  <c r="T111" i="2"/>
  <c r="T110" i="2"/>
  <c r="T109" i="2"/>
  <c r="T108" i="2"/>
  <c r="T106" i="2" s="1"/>
  <c r="T107" i="2"/>
  <c r="T104" i="2"/>
  <c r="T103" i="2"/>
  <c r="T102" i="2"/>
  <c r="T101" i="2"/>
  <c r="T100" i="2"/>
  <c r="T99" i="2"/>
  <c r="T97" i="2" s="1"/>
  <c r="T98" i="2"/>
  <c r="T95" i="2"/>
  <c r="T94" i="2"/>
  <c r="T93" i="2"/>
  <c r="T92" i="2"/>
  <c r="T91" i="2"/>
  <c r="T90" i="2"/>
  <c r="T89" i="2"/>
  <c r="T88" i="2"/>
  <c r="T87" i="2"/>
  <c r="T82" i="2"/>
  <c r="T77" i="2"/>
  <c r="T76" i="2"/>
  <c r="T75" i="2"/>
  <c r="T74" i="2"/>
  <c r="T73" i="2"/>
  <c r="T72" i="2"/>
  <c r="T71" i="2"/>
  <c r="T69" i="2"/>
  <c r="T68" i="2"/>
  <c r="T65" i="2"/>
  <c r="T64" i="2"/>
  <c r="T63" i="2"/>
  <c r="T61" i="2"/>
  <c r="T60" i="2"/>
  <c r="T59" i="2"/>
  <c r="T58" i="2"/>
  <c r="T57" i="2"/>
  <c r="T56" i="2"/>
  <c r="T55" i="2"/>
  <c r="T24" i="2"/>
  <c r="T23" i="2"/>
  <c r="T22" i="2"/>
  <c r="T20" i="2"/>
  <c r="T19" i="2"/>
  <c r="T18" i="2"/>
  <c r="T16" i="2"/>
  <c r="T15" i="2"/>
  <c r="T13" i="2"/>
  <c r="T10" i="2"/>
  <c r="T9" i="2"/>
  <c r="T8" i="2"/>
  <c r="T7" i="2"/>
  <c r="T6" i="2"/>
  <c r="T5" i="2"/>
  <c r="J106" i="2"/>
  <c r="J97" i="2"/>
  <c r="J86" i="2"/>
  <c r="J85" i="2" s="1"/>
  <c r="J67" i="2"/>
  <c r="J79" i="2" s="1"/>
  <c r="J54" i="2"/>
  <c r="J12" i="2"/>
  <c r="J37" i="2" s="1"/>
  <c r="T37" i="2" s="1"/>
  <c r="BG59" i="8"/>
  <c r="BG56" i="8"/>
  <c r="BG54" i="8"/>
  <c r="BG52" i="8"/>
  <c r="BG50" i="8"/>
  <c r="BG48" i="8"/>
  <c r="BG45" i="8"/>
  <c r="BG42" i="8"/>
  <c r="BG36" i="8"/>
  <c r="BG35" i="8"/>
  <c r="BG24" i="8"/>
  <c r="BG23" i="8"/>
  <c r="BG22" i="8"/>
  <c r="BG21" i="8"/>
  <c r="BG20" i="8"/>
  <c r="BG19" i="8"/>
  <c r="BG18" i="8"/>
  <c r="BG17" i="8"/>
  <c r="BG16" i="8"/>
  <c r="BG15" i="8"/>
  <c r="BG14" i="8"/>
  <c r="BG13" i="8"/>
  <c r="BG12" i="8"/>
  <c r="BG11" i="8"/>
  <c r="BG10" i="8"/>
  <c r="BG9" i="8"/>
  <c r="BG8" i="8"/>
  <c r="BG7" i="8"/>
  <c r="BG6" i="8"/>
  <c r="BG5" i="8"/>
  <c r="AB46" i="8"/>
  <c r="M56" i="1"/>
  <c r="M59" i="12"/>
  <c r="T86" i="2" l="1"/>
  <c r="T85" i="2" s="1"/>
  <c r="T67" i="2"/>
  <c r="T54" i="2"/>
  <c r="T79" i="2" s="1"/>
  <c r="T12" i="2"/>
  <c r="T116" i="2"/>
  <c r="J116" i="2"/>
  <c r="J14" i="2"/>
  <c r="AA6" i="12"/>
  <c r="M11" i="12"/>
  <c r="M29" i="12"/>
  <c r="M39" i="12"/>
  <c r="M74" i="12"/>
  <c r="M67" i="12"/>
  <c r="T14" i="2" l="1"/>
  <c r="J39" i="2"/>
  <c r="T39" i="2" s="1"/>
  <c r="J17" i="2"/>
  <c r="AA24" i="8"/>
  <c r="AA23" i="8"/>
  <c r="AA22" i="8"/>
  <c r="AA20" i="8"/>
  <c r="AA19" i="8"/>
  <c r="AA18" i="8"/>
  <c r="AA15" i="8"/>
  <c r="AA13" i="8"/>
  <c r="AA11" i="8"/>
  <c r="AA10" i="8"/>
  <c r="AA9" i="8"/>
  <c r="AA8" i="8"/>
  <c r="AA7" i="8"/>
  <c r="AA6" i="8"/>
  <c r="AA5" i="8"/>
  <c r="T17" i="2" l="1"/>
  <c r="J41" i="2"/>
  <c r="T41" i="2" s="1"/>
  <c r="J21" i="2"/>
  <c r="J45" i="2" s="1"/>
  <c r="T45" i="2" s="1"/>
  <c r="I48" i="2"/>
  <c r="S48" i="2" s="1"/>
  <c r="I47" i="2"/>
  <c r="S47" i="2" s="1"/>
  <c r="I46" i="2"/>
  <c r="S46" i="2" s="1"/>
  <c r="I44" i="2"/>
  <c r="S44" i="2" s="1"/>
  <c r="I43" i="2"/>
  <c r="S43" i="2" s="1"/>
  <c r="I42" i="2"/>
  <c r="S42" i="2" s="1"/>
  <c r="I40" i="2"/>
  <c r="S40" i="2" s="1"/>
  <c r="I38" i="2"/>
  <c r="S38" i="2" s="1"/>
  <c r="I36" i="2"/>
  <c r="S36" i="2" s="1"/>
  <c r="I35" i="2"/>
  <c r="S35" i="2" s="1"/>
  <c r="I34" i="2"/>
  <c r="S34" i="2" s="1"/>
  <c r="I33" i="2"/>
  <c r="S33" i="2" s="1"/>
  <c r="I32" i="2"/>
  <c r="S32" i="2" s="1"/>
  <c r="I31" i="2"/>
  <c r="S31" i="2" s="1"/>
  <c r="M84" i="1"/>
  <c r="AA16" i="8" s="1"/>
  <c r="M35" i="1"/>
  <c r="M34" i="1" s="1"/>
  <c r="M19" i="1"/>
  <c r="M6" i="1"/>
  <c r="T21" i="2" l="1"/>
  <c r="N111" i="11"/>
  <c r="N32" i="11"/>
  <c r="N52" i="11" s="1"/>
  <c r="BF46" i="8"/>
  <c r="BE37" i="8"/>
  <c r="BD37" i="8"/>
  <c r="AA46" i="8"/>
  <c r="BF59" i="8"/>
  <c r="BF48" i="8"/>
  <c r="BF45" i="8"/>
  <c r="BF42" i="8"/>
  <c r="BF35" i="8"/>
  <c r="BF24" i="8"/>
  <c r="BF23" i="8"/>
  <c r="BF22" i="8"/>
  <c r="BF20" i="8"/>
  <c r="BF19" i="8"/>
  <c r="BF18" i="8"/>
  <c r="BF16" i="8"/>
  <c r="BF15" i="8"/>
  <c r="BF13" i="8"/>
  <c r="BF11" i="8"/>
  <c r="BF10" i="8"/>
  <c r="BF9" i="8"/>
  <c r="BF8" i="8"/>
  <c r="BF7" i="8"/>
  <c r="BF6" i="8"/>
  <c r="BF5" i="8"/>
  <c r="Y185" i="1"/>
  <c r="Y184" i="1"/>
  <c r="Y181" i="1"/>
  <c r="Y180" i="1"/>
  <c r="Y179" i="1"/>
  <c r="Y178" i="1"/>
  <c r="Y177" i="1"/>
  <c r="Y176" i="1"/>
  <c r="Y175" i="1"/>
  <c r="Y174" i="1"/>
  <c r="Y173" i="1"/>
  <c r="Y172" i="1"/>
  <c r="Y170" i="1"/>
  <c r="Y169" i="1"/>
  <c r="Y168" i="1"/>
  <c r="Y167" i="1"/>
  <c r="Y166" i="1"/>
  <c r="Y165" i="1"/>
  <c r="Y164" i="1"/>
  <c r="Y162" i="1"/>
  <c r="Y160" i="1"/>
  <c r="Y159" i="1"/>
  <c r="Y157" i="1"/>
  <c r="Y156" i="1"/>
  <c r="Y155" i="1"/>
  <c r="Y154" i="1"/>
  <c r="Y153" i="1"/>
  <c r="Y152" i="1"/>
  <c r="Y150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92" i="1"/>
  <c r="Y91" i="1"/>
  <c r="Y90" i="1"/>
  <c r="Y88" i="1"/>
  <c r="Y87" i="1"/>
  <c r="Y86" i="1"/>
  <c r="Y84" i="1"/>
  <c r="Y83" i="1"/>
  <c r="Y81" i="1"/>
  <c r="Y79" i="1"/>
  <c r="Y78" i="1"/>
  <c r="Y77" i="1"/>
  <c r="Y76" i="1"/>
  <c r="Y75" i="1"/>
  <c r="Y74" i="1"/>
  <c r="Y73" i="1"/>
  <c r="Y64" i="1"/>
  <c r="Y63" i="1"/>
  <c r="Y62" i="1"/>
  <c r="Y61" i="1"/>
  <c r="Y60" i="1"/>
  <c r="Y59" i="1"/>
  <c r="Y58" i="1"/>
  <c r="Y57" i="1"/>
  <c r="Y56" i="1"/>
  <c r="Y54" i="1"/>
  <c r="Y53" i="1"/>
  <c r="Y52" i="1"/>
  <c r="Y51" i="1"/>
  <c r="Y50" i="1"/>
  <c r="Y49" i="1"/>
  <c r="Y48" i="1"/>
  <c r="Y47" i="1"/>
  <c r="Y45" i="1"/>
  <c r="Y43" i="1"/>
  <c r="Y42" i="1"/>
  <c r="Y41" i="1"/>
  <c r="Y40" i="1"/>
  <c r="Y39" i="1"/>
  <c r="Y37" i="1"/>
  <c r="Y36" i="1"/>
  <c r="Y34" i="1"/>
  <c r="Y29" i="1"/>
  <c r="Y27" i="1"/>
  <c r="Y26" i="1"/>
  <c r="Y25" i="1"/>
  <c r="Y24" i="1"/>
  <c r="Y22" i="1"/>
  <c r="Y21" i="1"/>
  <c r="Y20" i="1"/>
  <c r="Y19" i="1"/>
  <c r="Y17" i="1"/>
  <c r="Y16" i="1"/>
  <c r="Y15" i="1"/>
  <c r="Y14" i="1"/>
  <c r="Y12" i="1"/>
  <c r="Y11" i="1"/>
  <c r="Y10" i="1"/>
  <c r="Y9" i="1"/>
  <c r="Y8" i="1"/>
  <c r="Y7" i="1"/>
  <c r="Y6" i="1"/>
  <c r="M80" i="1"/>
  <c r="M66" i="1"/>
  <c r="M32" i="1"/>
  <c r="Y80" i="1" l="1"/>
  <c r="AA12" i="8"/>
  <c r="BF12" i="8" s="1"/>
  <c r="M82" i="1"/>
  <c r="Y32" i="1"/>
  <c r="Y66" i="1"/>
  <c r="Y148" i="1"/>
  <c r="Y158" i="1" s="1"/>
  <c r="Y161" i="1" s="1"/>
  <c r="Y163" i="1" s="1"/>
  <c r="Y182" i="1"/>
  <c r="Y171" i="1"/>
  <c r="Y35" i="1"/>
  <c r="AA14" i="8" l="1"/>
  <c r="BF14" i="8" s="1"/>
  <c r="M85" i="1"/>
  <c r="Y82" i="1"/>
  <c r="Y183" i="1"/>
  <c r="Y186" i="1" s="1"/>
  <c r="AA17" i="8" l="1"/>
  <c r="BF17" i="8" s="1"/>
  <c r="M89" i="1"/>
  <c r="AA21" i="8" s="1"/>
  <c r="BF21" i="8" s="1"/>
  <c r="Y85" i="1"/>
  <c r="Y89" i="1"/>
  <c r="BE59" i="8"/>
  <c r="BD59" i="8"/>
  <c r="BE56" i="8"/>
  <c r="BD56" i="8"/>
  <c r="BE54" i="8"/>
  <c r="BD54" i="8"/>
  <c r="BE52" i="8"/>
  <c r="BD52" i="8"/>
  <c r="BE50" i="8"/>
  <c r="BD50" i="8"/>
  <c r="BE48" i="8"/>
  <c r="BD48" i="8"/>
  <c r="BE45" i="8"/>
  <c r="BD45" i="8"/>
  <c r="BE42" i="8"/>
  <c r="BD42" i="8"/>
  <c r="BE38" i="8"/>
  <c r="BD38" i="8"/>
  <c r="BE36" i="8"/>
  <c r="BD36" i="8"/>
  <c r="BE35" i="8"/>
  <c r="BD35" i="8"/>
  <c r="BE24" i="8"/>
  <c r="BD24" i="8"/>
  <c r="BE23" i="8"/>
  <c r="BD23" i="8"/>
  <c r="BE22" i="8"/>
  <c r="BD22" i="8"/>
  <c r="BE21" i="8"/>
  <c r="BD21" i="8"/>
  <c r="BE20" i="8"/>
  <c r="BD20" i="8"/>
  <c r="BE19" i="8"/>
  <c r="BD19" i="8"/>
  <c r="BE18" i="8"/>
  <c r="BD18" i="8"/>
  <c r="BE17" i="8"/>
  <c r="BD17" i="8"/>
  <c r="BE16" i="8"/>
  <c r="BD16" i="8"/>
  <c r="BE15" i="8"/>
  <c r="BD15" i="8"/>
  <c r="BE14" i="8"/>
  <c r="BD14" i="8"/>
  <c r="BE13" i="8"/>
  <c r="BD13" i="8"/>
  <c r="BE12" i="8"/>
  <c r="BD12" i="8"/>
  <c r="BE11" i="8"/>
  <c r="BD11" i="8"/>
  <c r="BE10" i="8"/>
  <c r="BD10" i="8"/>
  <c r="BE9" i="8"/>
  <c r="BD9" i="8"/>
  <c r="BE8" i="8"/>
  <c r="BD8" i="8"/>
  <c r="BE7" i="8"/>
  <c r="BD7" i="8"/>
  <c r="BE6" i="8"/>
  <c r="BD6" i="8"/>
  <c r="BE5" i="8"/>
  <c r="BD5" i="8"/>
  <c r="S16" i="2" l="1"/>
  <c r="S114" i="2" l="1"/>
  <c r="S113" i="2"/>
  <c r="S112" i="2"/>
  <c r="S111" i="2"/>
  <c r="S110" i="2"/>
  <c r="S109" i="2"/>
  <c r="S108" i="2"/>
  <c r="S107" i="2"/>
  <c r="S104" i="2"/>
  <c r="S103" i="2"/>
  <c r="S102" i="2"/>
  <c r="S101" i="2"/>
  <c r="S100" i="2"/>
  <c r="S99" i="2"/>
  <c r="S98" i="2"/>
  <c r="S95" i="2"/>
  <c r="S94" i="2"/>
  <c r="S93" i="2"/>
  <c r="S92" i="2"/>
  <c r="S91" i="2"/>
  <c r="S90" i="2"/>
  <c r="S89" i="2"/>
  <c r="S88" i="2"/>
  <c r="S87" i="2"/>
  <c r="S82" i="2"/>
  <c r="S77" i="2"/>
  <c r="S76" i="2"/>
  <c r="S75" i="2"/>
  <c r="S74" i="2"/>
  <c r="S73" i="2"/>
  <c r="S72" i="2"/>
  <c r="S71" i="2"/>
  <c r="S69" i="2"/>
  <c r="S68" i="2"/>
  <c r="S65" i="2"/>
  <c r="S64" i="2"/>
  <c r="S63" i="2"/>
  <c r="S61" i="2"/>
  <c r="S60" i="2"/>
  <c r="S59" i="2"/>
  <c r="S58" i="2"/>
  <c r="S57" i="2"/>
  <c r="S56" i="2"/>
  <c r="S55" i="2"/>
  <c r="S24" i="2"/>
  <c r="S23" i="2"/>
  <c r="S22" i="2"/>
  <c r="S20" i="2"/>
  <c r="S19" i="2"/>
  <c r="S18" i="2"/>
  <c r="S15" i="2"/>
  <c r="S13" i="2"/>
  <c r="S10" i="2"/>
  <c r="S9" i="2"/>
  <c r="S8" i="2"/>
  <c r="S7" i="2"/>
  <c r="S6" i="2"/>
  <c r="S5" i="2"/>
  <c r="I106" i="2"/>
  <c r="I97" i="2"/>
  <c r="I86" i="2"/>
  <c r="I85" i="2" s="1"/>
  <c r="I67" i="2"/>
  <c r="I54" i="2"/>
  <c r="I12" i="2"/>
  <c r="I37" i="2" s="1"/>
  <c r="S37" i="2" s="1"/>
  <c r="BC59" i="8"/>
  <c r="BC56" i="8"/>
  <c r="BC54" i="8"/>
  <c r="BC52" i="8"/>
  <c r="BC50" i="8"/>
  <c r="BC48" i="8"/>
  <c r="BC45" i="8"/>
  <c r="BC42" i="8"/>
  <c r="BC38" i="8"/>
  <c r="BC36" i="8"/>
  <c r="BC35" i="8"/>
  <c r="BC24" i="8"/>
  <c r="BC23" i="8"/>
  <c r="BC22" i="8"/>
  <c r="BC21" i="8"/>
  <c r="BC20" i="8"/>
  <c r="BC19" i="8"/>
  <c r="BC18" i="8"/>
  <c r="BC17" i="8"/>
  <c r="BC16" i="8"/>
  <c r="BC15" i="8"/>
  <c r="BC14" i="8"/>
  <c r="BC13" i="8"/>
  <c r="BC12" i="8"/>
  <c r="BC11" i="8"/>
  <c r="BC10" i="8"/>
  <c r="BC9" i="8"/>
  <c r="BC8" i="8"/>
  <c r="BC7" i="8"/>
  <c r="BC6" i="8"/>
  <c r="BC5" i="8"/>
  <c r="S12" i="2" l="1"/>
  <c r="S67" i="2"/>
  <c r="I79" i="2"/>
  <c r="S54" i="2"/>
  <c r="S106" i="2"/>
  <c r="S86" i="2"/>
  <c r="S85" i="2" s="1"/>
  <c r="S97" i="2"/>
  <c r="S79" i="2"/>
  <c r="I116" i="2"/>
  <c r="I14" i="2"/>
  <c r="X46" i="8"/>
  <c r="S178" i="1"/>
  <c r="T178" i="1"/>
  <c r="U178" i="1"/>
  <c r="V178" i="1"/>
  <c r="W178" i="1"/>
  <c r="X178" i="1"/>
  <c r="S179" i="1"/>
  <c r="T179" i="1"/>
  <c r="U179" i="1"/>
  <c r="V179" i="1"/>
  <c r="W179" i="1"/>
  <c r="X179" i="1"/>
  <c r="S180" i="1"/>
  <c r="T180" i="1"/>
  <c r="U180" i="1"/>
  <c r="V180" i="1"/>
  <c r="W180" i="1"/>
  <c r="X180" i="1"/>
  <c r="S181" i="1"/>
  <c r="T181" i="1"/>
  <c r="U181" i="1"/>
  <c r="V181" i="1"/>
  <c r="W181" i="1"/>
  <c r="X181" i="1"/>
  <c r="T172" i="1"/>
  <c r="U172" i="1"/>
  <c r="V172" i="1"/>
  <c r="W172" i="1"/>
  <c r="X172" i="1"/>
  <c r="S168" i="1"/>
  <c r="T168" i="1"/>
  <c r="U168" i="1"/>
  <c r="V168" i="1"/>
  <c r="W168" i="1"/>
  <c r="X168" i="1"/>
  <c r="P136" i="1"/>
  <c r="Q136" i="1"/>
  <c r="R136" i="1"/>
  <c r="S136" i="1"/>
  <c r="T136" i="1"/>
  <c r="U136" i="1"/>
  <c r="V136" i="1"/>
  <c r="W136" i="1"/>
  <c r="X136" i="1"/>
  <c r="P137" i="1"/>
  <c r="Q137" i="1"/>
  <c r="R137" i="1"/>
  <c r="S137" i="1"/>
  <c r="T137" i="1"/>
  <c r="U137" i="1"/>
  <c r="V137" i="1"/>
  <c r="W137" i="1"/>
  <c r="X137" i="1"/>
  <c r="U142" i="1"/>
  <c r="V142" i="1"/>
  <c r="W142" i="1"/>
  <c r="X142" i="1"/>
  <c r="T145" i="1"/>
  <c r="U145" i="1"/>
  <c r="V145" i="1"/>
  <c r="W145" i="1"/>
  <c r="T146" i="1"/>
  <c r="U146" i="1"/>
  <c r="V146" i="1"/>
  <c r="W146" i="1"/>
  <c r="T147" i="1"/>
  <c r="U147" i="1"/>
  <c r="V147" i="1"/>
  <c r="W147" i="1"/>
  <c r="X145" i="1"/>
  <c r="X146" i="1"/>
  <c r="X147" i="1"/>
  <c r="T132" i="1"/>
  <c r="U132" i="1"/>
  <c r="V132" i="1"/>
  <c r="W132" i="1"/>
  <c r="X132" i="1"/>
  <c r="T133" i="1"/>
  <c r="U133" i="1"/>
  <c r="V133" i="1"/>
  <c r="W133" i="1"/>
  <c r="X133" i="1"/>
  <c r="T134" i="1"/>
  <c r="U134" i="1"/>
  <c r="V134" i="1"/>
  <c r="W134" i="1"/>
  <c r="X134" i="1"/>
  <c r="T135" i="1"/>
  <c r="U135" i="1"/>
  <c r="V135" i="1"/>
  <c r="W135" i="1"/>
  <c r="X135" i="1"/>
  <c r="T138" i="1"/>
  <c r="U138" i="1"/>
  <c r="V138" i="1"/>
  <c r="W138" i="1"/>
  <c r="X138" i="1"/>
  <c r="T139" i="1"/>
  <c r="U139" i="1"/>
  <c r="V139" i="1"/>
  <c r="W139" i="1"/>
  <c r="X139" i="1"/>
  <c r="T140" i="1"/>
  <c r="U140" i="1"/>
  <c r="V140" i="1"/>
  <c r="W140" i="1"/>
  <c r="X140" i="1"/>
  <c r="T141" i="1"/>
  <c r="U141" i="1"/>
  <c r="V141" i="1"/>
  <c r="W141" i="1"/>
  <c r="X141" i="1"/>
  <c r="T143" i="1"/>
  <c r="U143" i="1"/>
  <c r="V143" i="1"/>
  <c r="W143" i="1"/>
  <c r="X143" i="1"/>
  <c r="T144" i="1"/>
  <c r="U144" i="1"/>
  <c r="V144" i="1"/>
  <c r="W144" i="1"/>
  <c r="X144" i="1"/>
  <c r="T150" i="1"/>
  <c r="U150" i="1"/>
  <c r="V150" i="1"/>
  <c r="W150" i="1"/>
  <c r="X150" i="1"/>
  <c r="T152" i="1"/>
  <c r="U152" i="1"/>
  <c r="V152" i="1"/>
  <c r="W152" i="1"/>
  <c r="X152" i="1"/>
  <c r="T153" i="1"/>
  <c r="U153" i="1"/>
  <c r="V153" i="1"/>
  <c r="W153" i="1"/>
  <c r="X153" i="1"/>
  <c r="T154" i="1"/>
  <c r="U154" i="1"/>
  <c r="V154" i="1"/>
  <c r="W154" i="1"/>
  <c r="X154" i="1"/>
  <c r="T155" i="1"/>
  <c r="U155" i="1"/>
  <c r="V155" i="1"/>
  <c r="W155" i="1"/>
  <c r="X155" i="1"/>
  <c r="T156" i="1"/>
  <c r="U156" i="1"/>
  <c r="V156" i="1"/>
  <c r="W156" i="1"/>
  <c r="X156" i="1"/>
  <c r="T159" i="1"/>
  <c r="U159" i="1"/>
  <c r="V159" i="1"/>
  <c r="W159" i="1"/>
  <c r="X159" i="1"/>
  <c r="T160" i="1"/>
  <c r="U160" i="1"/>
  <c r="V160" i="1"/>
  <c r="W160" i="1"/>
  <c r="X160" i="1"/>
  <c r="T162" i="1"/>
  <c r="U162" i="1"/>
  <c r="V162" i="1"/>
  <c r="W162" i="1"/>
  <c r="X162" i="1"/>
  <c r="T164" i="1"/>
  <c r="U164" i="1"/>
  <c r="V164" i="1"/>
  <c r="W164" i="1"/>
  <c r="X164" i="1"/>
  <c r="T165" i="1"/>
  <c r="U165" i="1"/>
  <c r="V165" i="1"/>
  <c r="W165" i="1"/>
  <c r="X165" i="1"/>
  <c r="T166" i="1"/>
  <c r="U166" i="1"/>
  <c r="V166" i="1"/>
  <c r="W166" i="1"/>
  <c r="X166" i="1"/>
  <c r="T167" i="1"/>
  <c r="U167" i="1"/>
  <c r="V167" i="1"/>
  <c r="W167" i="1"/>
  <c r="X167" i="1"/>
  <c r="T169" i="1"/>
  <c r="U169" i="1"/>
  <c r="V169" i="1"/>
  <c r="W169" i="1"/>
  <c r="X169" i="1"/>
  <c r="T170" i="1"/>
  <c r="U170" i="1"/>
  <c r="V170" i="1"/>
  <c r="W170" i="1"/>
  <c r="X170" i="1"/>
  <c r="T173" i="1"/>
  <c r="U173" i="1"/>
  <c r="V173" i="1"/>
  <c r="W173" i="1"/>
  <c r="X173" i="1"/>
  <c r="T174" i="1"/>
  <c r="U174" i="1"/>
  <c r="V174" i="1"/>
  <c r="W174" i="1"/>
  <c r="X174" i="1"/>
  <c r="T175" i="1"/>
  <c r="U175" i="1"/>
  <c r="V175" i="1"/>
  <c r="W175" i="1"/>
  <c r="X175" i="1"/>
  <c r="T176" i="1"/>
  <c r="U176" i="1"/>
  <c r="V176" i="1"/>
  <c r="W176" i="1"/>
  <c r="X176" i="1"/>
  <c r="T177" i="1"/>
  <c r="U177" i="1"/>
  <c r="V177" i="1"/>
  <c r="W177" i="1"/>
  <c r="X177" i="1"/>
  <c r="T184" i="1"/>
  <c r="U184" i="1"/>
  <c r="V184" i="1"/>
  <c r="W184" i="1"/>
  <c r="X184" i="1"/>
  <c r="T185" i="1"/>
  <c r="U185" i="1"/>
  <c r="V185" i="1"/>
  <c r="W185" i="1"/>
  <c r="X185" i="1"/>
  <c r="S185" i="1"/>
  <c r="S184" i="1"/>
  <c r="S177" i="1"/>
  <c r="S176" i="1"/>
  <c r="S175" i="1"/>
  <c r="S174" i="1"/>
  <c r="S173" i="1"/>
  <c r="S170" i="1"/>
  <c r="S169" i="1"/>
  <c r="S167" i="1"/>
  <c r="S166" i="1"/>
  <c r="S165" i="1"/>
  <c r="S164" i="1"/>
  <c r="S162" i="1"/>
  <c r="S160" i="1"/>
  <c r="S159" i="1"/>
  <c r="S156" i="1"/>
  <c r="S155" i="1"/>
  <c r="S154" i="1"/>
  <c r="S153" i="1"/>
  <c r="S152" i="1"/>
  <c r="S150" i="1"/>
  <c r="S144" i="1"/>
  <c r="S143" i="1"/>
  <c r="S141" i="1"/>
  <c r="S140" i="1"/>
  <c r="S139" i="1"/>
  <c r="S138" i="1"/>
  <c r="S135" i="1"/>
  <c r="S134" i="1"/>
  <c r="S132" i="1"/>
  <c r="S133" i="1"/>
  <c r="R120" i="1"/>
  <c r="R119" i="1"/>
  <c r="R117" i="1"/>
  <c r="R116" i="1"/>
  <c r="R115" i="1"/>
  <c r="R114" i="1"/>
  <c r="R113" i="1"/>
  <c r="R111" i="1"/>
  <c r="R109" i="1"/>
  <c r="R107" i="1"/>
  <c r="R106" i="1"/>
  <c r="R104" i="1"/>
  <c r="R103" i="1"/>
  <c r="R102" i="1"/>
  <c r="R100" i="1"/>
  <c r="R99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1" i="1"/>
  <c r="U81" i="1"/>
  <c r="V81" i="1"/>
  <c r="W81" i="1"/>
  <c r="X81" i="1"/>
  <c r="T83" i="1"/>
  <c r="U83" i="1"/>
  <c r="V83" i="1"/>
  <c r="W83" i="1"/>
  <c r="X83" i="1"/>
  <c r="T84" i="1"/>
  <c r="U84" i="1"/>
  <c r="W84" i="1"/>
  <c r="X84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90" i="1"/>
  <c r="U90" i="1"/>
  <c r="V90" i="1"/>
  <c r="W90" i="1"/>
  <c r="X90" i="1"/>
  <c r="T91" i="1"/>
  <c r="U91" i="1"/>
  <c r="V91" i="1"/>
  <c r="W91" i="1"/>
  <c r="X91" i="1"/>
  <c r="U92" i="1"/>
  <c r="V92" i="1"/>
  <c r="W92" i="1"/>
  <c r="X92" i="1"/>
  <c r="S91" i="1"/>
  <c r="S90" i="1"/>
  <c r="S88" i="1"/>
  <c r="S87" i="1"/>
  <c r="S86" i="1"/>
  <c r="S84" i="1"/>
  <c r="S83" i="1"/>
  <c r="S81" i="1"/>
  <c r="S79" i="1"/>
  <c r="S78" i="1"/>
  <c r="S77" i="1"/>
  <c r="S76" i="1"/>
  <c r="S75" i="1"/>
  <c r="S74" i="1"/>
  <c r="S73" i="1"/>
  <c r="X7" i="1"/>
  <c r="X8" i="1"/>
  <c r="X9" i="1"/>
  <c r="X10" i="1"/>
  <c r="X11" i="1"/>
  <c r="X12" i="1"/>
  <c r="X14" i="1"/>
  <c r="X15" i="1"/>
  <c r="X16" i="1"/>
  <c r="X17" i="1"/>
  <c r="X20" i="1"/>
  <c r="X21" i="1"/>
  <c r="X22" i="1"/>
  <c r="X24" i="1"/>
  <c r="X25" i="1"/>
  <c r="X26" i="1"/>
  <c r="X27" i="1"/>
  <c r="X29" i="1"/>
  <c r="X36" i="1"/>
  <c r="X37" i="1"/>
  <c r="X39" i="1"/>
  <c r="X40" i="1"/>
  <c r="X41" i="1"/>
  <c r="X42" i="1"/>
  <c r="X43" i="1"/>
  <c r="X45" i="1"/>
  <c r="X48" i="1"/>
  <c r="X49" i="1"/>
  <c r="X50" i="1"/>
  <c r="X51" i="1"/>
  <c r="X52" i="1"/>
  <c r="X53" i="1"/>
  <c r="X54" i="1"/>
  <c r="X57" i="1"/>
  <c r="X58" i="1"/>
  <c r="X59" i="1"/>
  <c r="X60" i="1"/>
  <c r="X61" i="1"/>
  <c r="X62" i="1"/>
  <c r="X63" i="1"/>
  <c r="X64" i="1"/>
  <c r="W7" i="1"/>
  <c r="W8" i="1"/>
  <c r="W9" i="1"/>
  <c r="W10" i="1"/>
  <c r="W11" i="1"/>
  <c r="W12" i="1"/>
  <c r="W14" i="1"/>
  <c r="W15" i="1"/>
  <c r="W16" i="1"/>
  <c r="W17" i="1"/>
  <c r="W20" i="1"/>
  <c r="W21" i="1"/>
  <c r="W22" i="1"/>
  <c r="W24" i="1"/>
  <c r="W25" i="1"/>
  <c r="W26" i="1"/>
  <c r="W27" i="1"/>
  <c r="W29" i="1"/>
  <c r="W36" i="1"/>
  <c r="W37" i="1"/>
  <c r="W39" i="1"/>
  <c r="W40" i="1"/>
  <c r="W41" i="1"/>
  <c r="W42" i="1"/>
  <c r="W43" i="1"/>
  <c r="W45" i="1"/>
  <c r="W48" i="1"/>
  <c r="W49" i="1"/>
  <c r="W50" i="1"/>
  <c r="W51" i="1"/>
  <c r="W52" i="1"/>
  <c r="W53" i="1"/>
  <c r="W54" i="1"/>
  <c r="W57" i="1"/>
  <c r="W58" i="1"/>
  <c r="W59" i="1"/>
  <c r="W60" i="1"/>
  <c r="W61" i="1"/>
  <c r="W62" i="1"/>
  <c r="W63" i="1"/>
  <c r="W64" i="1"/>
  <c r="BB5" i="8"/>
  <c r="H42" i="2"/>
  <c r="R42" i="2" s="1"/>
  <c r="H43" i="2"/>
  <c r="R43" i="2" s="1"/>
  <c r="H44" i="2"/>
  <c r="R44" i="2" s="1"/>
  <c r="H46" i="2"/>
  <c r="R46" i="2" s="1"/>
  <c r="H47" i="2"/>
  <c r="R47" i="2" s="1"/>
  <c r="H48" i="2"/>
  <c r="R48" i="2" s="1"/>
  <c r="H38" i="2"/>
  <c r="R38" i="2" s="1"/>
  <c r="H40" i="2"/>
  <c r="R40" i="2" s="1"/>
  <c r="H32" i="2"/>
  <c r="R32" i="2" s="1"/>
  <c r="H33" i="2"/>
  <c r="R33" i="2" s="1"/>
  <c r="H34" i="2"/>
  <c r="R34" i="2" s="1"/>
  <c r="H35" i="2"/>
  <c r="R35" i="2" s="1"/>
  <c r="H36" i="2"/>
  <c r="R36" i="2" s="1"/>
  <c r="H31" i="2"/>
  <c r="R31" i="2" s="1"/>
  <c r="G31" i="2"/>
  <c r="Q31" i="2" s="1"/>
  <c r="L182" i="1"/>
  <c r="L171" i="1"/>
  <c r="L157" i="1"/>
  <c r="X157" i="1" s="1"/>
  <c r="L148" i="1"/>
  <c r="L80" i="1"/>
  <c r="L82" i="1" s="1"/>
  <c r="L85" i="1" s="1"/>
  <c r="L89" i="1" s="1"/>
  <c r="L56" i="1"/>
  <c r="X56" i="1" s="1"/>
  <c r="L47" i="1"/>
  <c r="X47" i="1" s="1"/>
  <c r="L35" i="1"/>
  <c r="L34" i="1" s="1"/>
  <c r="X34" i="1" s="1"/>
  <c r="L19" i="1"/>
  <c r="X19" i="1" s="1"/>
  <c r="L6" i="1"/>
  <c r="X6" i="1" s="1"/>
  <c r="S14" i="2" l="1"/>
  <c r="I39" i="2"/>
  <c r="S39" i="2" s="1"/>
  <c r="V182" i="1"/>
  <c r="U182" i="1"/>
  <c r="T182" i="1"/>
  <c r="X182" i="1"/>
  <c r="S182" i="1"/>
  <c r="W182" i="1"/>
  <c r="X32" i="1"/>
  <c r="S116" i="2"/>
  <c r="I17" i="2"/>
  <c r="X171" i="1"/>
  <c r="T148" i="1"/>
  <c r="W171" i="1"/>
  <c r="V171" i="1"/>
  <c r="U171" i="1"/>
  <c r="T171" i="1"/>
  <c r="U148" i="1"/>
  <c r="W148" i="1"/>
  <c r="V148" i="1"/>
  <c r="X148" i="1"/>
  <c r="X66" i="1"/>
  <c r="X80" i="1"/>
  <c r="X89" i="1"/>
  <c r="X35" i="1"/>
  <c r="X82" i="1"/>
  <c r="X85" i="1"/>
  <c r="W35" i="1"/>
  <c r="L158" i="1"/>
  <c r="L161" i="1" s="1"/>
  <c r="L163" i="1" s="1"/>
  <c r="L183" i="1" s="1"/>
  <c r="L186" i="1" s="1"/>
  <c r="L66" i="1"/>
  <c r="L32" i="1"/>
  <c r="S17" i="2" l="1"/>
  <c r="I41" i="2"/>
  <c r="S41" i="2" s="1"/>
  <c r="I21" i="2"/>
  <c r="I45" i="2" s="1"/>
  <c r="S45" i="2" s="1"/>
  <c r="X158" i="1"/>
  <c r="X161" i="1" s="1"/>
  <c r="X163" i="1" s="1"/>
  <c r="X183" i="1" s="1"/>
  <c r="Z6" i="12"/>
  <c r="L29" i="12"/>
  <c r="K29" i="12"/>
  <c r="L62" i="12"/>
  <c r="M62" i="12" s="1"/>
  <c r="N62" i="12" s="1"/>
  <c r="L74" i="12"/>
  <c r="L67" i="12"/>
  <c r="L59" i="12"/>
  <c r="L39" i="12"/>
  <c r="L11" i="12"/>
  <c r="S21" i="2" l="1"/>
  <c r="X186" i="1"/>
  <c r="W46" i="8"/>
  <c r="V46" i="8"/>
  <c r="BB59" i="8"/>
  <c r="BB56" i="8"/>
  <c r="BB54" i="8"/>
  <c r="BB52" i="8"/>
  <c r="BB50" i="8"/>
  <c r="BB48" i="8"/>
  <c r="BB45" i="8"/>
  <c r="BB42" i="8"/>
  <c r="BB38" i="8"/>
  <c r="BB36" i="8"/>
  <c r="BB35" i="8"/>
  <c r="BB24" i="8"/>
  <c r="BB23" i="8"/>
  <c r="BB22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B8" i="8"/>
  <c r="BB7" i="8"/>
  <c r="BB6" i="8"/>
  <c r="AI11" i="8"/>
  <c r="AJ11" i="8"/>
  <c r="AK11" i="8"/>
  <c r="AM11" i="8"/>
  <c r="AN11" i="8"/>
  <c r="AO11" i="8"/>
  <c r="AQ11" i="8"/>
  <c r="AR11" i="8"/>
  <c r="AS11" i="8"/>
  <c r="AT11" i="8"/>
  <c r="AU11" i="8"/>
  <c r="AV11" i="8"/>
  <c r="AW11" i="8"/>
  <c r="AX11" i="8"/>
  <c r="AY11" i="8"/>
  <c r="AZ11" i="8"/>
  <c r="BA11" i="8"/>
  <c r="BA59" i="8"/>
  <c r="BA56" i="8"/>
  <c r="BA54" i="8"/>
  <c r="BA52" i="8"/>
  <c r="BA50" i="8"/>
  <c r="BA48" i="8"/>
  <c r="BA45" i="8"/>
  <c r="BA42" i="8"/>
  <c r="BA38" i="8"/>
  <c r="BA36" i="8"/>
  <c r="BA35" i="8"/>
  <c r="BA24" i="8"/>
  <c r="BA23" i="8"/>
  <c r="BA22" i="8"/>
  <c r="BA21" i="8"/>
  <c r="BA20" i="8"/>
  <c r="BA19" i="8"/>
  <c r="BA18" i="8"/>
  <c r="BA17" i="8"/>
  <c r="BA16" i="8"/>
  <c r="BA15" i="8"/>
  <c r="BA14" i="8"/>
  <c r="BA13" i="8"/>
  <c r="BA12" i="8"/>
  <c r="BA10" i="8"/>
  <c r="BA9" i="8"/>
  <c r="BA8" i="8"/>
  <c r="BA7" i="8"/>
  <c r="BA6" i="8"/>
  <c r="BA5" i="8"/>
  <c r="U56" i="8"/>
  <c r="AZ56" i="8" s="1"/>
  <c r="U52" i="8"/>
  <c r="AZ52" i="8" s="1"/>
  <c r="U38" i="8"/>
  <c r="AZ38" i="8" s="1"/>
  <c r="AZ45" i="8"/>
  <c r="AZ24" i="8"/>
  <c r="AZ23" i="8"/>
  <c r="AZ22" i="8"/>
  <c r="AZ20" i="8"/>
  <c r="AZ19" i="8"/>
  <c r="AZ18" i="8"/>
  <c r="AZ16" i="8"/>
  <c r="AZ15" i="8"/>
  <c r="AZ13" i="8"/>
  <c r="AZ10" i="8"/>
  <c r="AZ9" i="8"/>
  <c r="AZ8" i="8"/>
  <c r="AZ7" i="8"/>
  <c r="AZ6" i="8"/>
  <c r="AZ5" i="8"/>
  <c r="U12" i="8"/>
  <c r="U14" i="8" s="1"/>
  <c r="U17" i="8" s="1"/>
  <c r="U21" i="8" s="1"/>
  <c r="AZ21" i="8" s="1"/>
  <c r="R109" i="2"/>
  <c r="R55" i="2"/>
  <c r="R56" i="2"/>
  <c r="R57" i="2"/>
  <c r="R58" i="2"/>
  <c r="R59" i="2"/>
  <c r="R60" i="2"/>
  <c r="R61" i="2"/>
  <c r="R63" i="2"/>
  <c r="R64" i="2"/>
  <c r="R65" i="2"/>
  <c r="R68" i="2"/>
  <c r="R69" i="2"/>
  <c r="R71" i="2"/>
  <c r="R72" i="2"/>
  <c r="R73" i="2"/>
  <c r="R74" i="2"/>
  <c r="R75" i="2"/>
  <c r="R76" i="2"/>
  <c r="R77" i="2"/>
  <c r="R114" i="2"/>
  <c r="R104" i="2"/>
  <c r="R95" i="2"/>
  <c r="R88" i="2"/>
  <c r="R87" i="2"/>
  <c r="R113" i="2"/>
  <c r="R24" i="2"/>
  <c r="R23" i="2"/>
  <c r="R22" i="2"/>
  <c r="R20" i="2"/>
  <c r="R19" i="2"/>
  <c r="R18" i="2"/>
  <c r="R15" i="2"/>
  <c r="R13" i="2"/>
  <c r="R10" i="2"/>
  <c r="R9" i="2"/>
  <c r="R8" i="2"/>
  <c r="R7" i="2"/>
  <c r="R6" i="2"/>
  <c r="R5" i="2"/>
  <c r="H86" i="2"/>
  <c r="H85" i="2" s="1"/>
  <c r="U48" i="8" s="1"/>
  <c r="AZ48" i="8" s="1"/>
  <c r="H106" i="2"/>
  <c r="U54" i="8" s="1"/>
  <c r="AZ54" i="8" s="1"/>
  <c r="H97" i="2"/>
  <c r="U50" i="8" s="1"/>
  <c r="AZ50" i="8" s="1"/>
  <c r="H54" i="2"/>
  <c r="U35" i="8" s="1"/>
  <c r="AZ35" i="8" s="1"/>
  <c r="H67" i="2"/>
  <c r="U36" i="8" s="1"/>
  <c r="AZ36" i="8" s="1"/>
  <c r="G32" i="2"/>
  <c r="Q32" i="2" s="1"/>
  <c r="G33" i="2"/>
  <c r="Q33" i="2" s="1"/>
  <c r="G34" i="2"/>
  <c r="Q34" i="2" s="1"/>
  <c r="G35" i="2"/>
  <c r="Q35" i="2" s="1"/>
  <c r="G36" i="2"/>
  <c r="Q36" i="2" s="1"/>
  <c r="G38" i="2"/>
  <c r="Q38" i="2" s="1"/>
  <c r="G40" i="2"/>
  <c r="Q40" i="2" s="1"/>
  <c r="G42" i="2"/>
  <c r="Q42" i="2" s="1"/>
  <c r="G43" i="2"/>
  <c r="Q43" i="2" s="1"/>
  <c r="G44" i="2"/>
  <c r="Q44" i="2" s="1"/>
  <c r="G46" i="2"/>
  <c r="Q46" i="2" s="1"/>
  <c r="G47" i="2"/>
  <c r="Q47" i="2" s="1"/>
  <c r="H12" i="2"/>
  <c r="H37" i="2" s="1"/>
  <c r="R37" i="2" s="1"/>
  <c r="G12" i="2"/>
  <c r="R54" i="2" l="1"/>
  <c r="H14" i="2"/>
  <c r="R12" i="2"/>
  <c r="R67" i="2"/>
  <c r="AZ14" i="8"/>
  <c r="AZ17" i="8"/>
  <c r="AZ12" i="8"/>
  <c r="R79" i="2"/>
  <c r="R89" i="2"/>
  <c r="R98" i="2"/>
  <c r="R108" i="2"/>
  <c r="R91" i="2"/>
  <c r="R100" i="2"/>
  <c r="R110" i="2"/>
  <c r="R107" i="2"/>
  <c r="R90" i="2"/>
  <c r="R99" i="2"/>
  <c r="R82" i="2"/>
  <c r="R92" i="2"/>
  <c r="R101" i="2"/>
  <c r="R111" i="2"/>
  <c r="R93" i="2"/>
  <c r="R102" i="2"/>
  <c r="R112" i="2"/>
  <c r="R94" i="2"/>
  <c r="R103" i="2"/>
  <c r="H116" i="2"/>
  <c r="U59" i="8" s="1"/>
  <c r="AZ59" i="8" s="1"/>
  <c r="H79" i="2"/>
  <c r="U42" i="8" s="1"/>
  <c r="AZ42" i="8" s="1"/>
  <c r="H17" i="2" l="1"/>
  <c r="H39" i="2"/>
  <c r="R39" i="2" s="1"/>
  <c r="R14" i="2"/>
  <c r="R86" i="2"/>
  <c r="R85" i="2" s="1"/>
  <c r="R97" i="2"/>
  <c r="R106" i="2"/>
  <c r="T59" i="8"/>
  <c r="AY59" i="8" s="1"/>
  <c r="AY56" i="8"/>
  <c r="AY54" i="8"/>
  <c r="AY52" i="8"/>
  <c r="AY50" i="8"/>
  <c r="AY48" i="8"/>
  <c r="AY45" i="8"/>
  <c r="AY42" i="8"/>
  <c r="AY38" i="8"/>
  <c r="AY36" i="8"/>
  <c r="AY35" i="8"/>
  <c r="AY24" i="8"/>
  <c r="AY23" i="8"/>
  <c r="AY22" i="8"/>
  <c r="AY21" i="8"/>
  <c r="AY20" i="8"/>
  <c r="AY19" i="8"/>
  <c r="AY18" i="8"/>
  <c r="AY17" i="8"/>
  <c r="AY16" i="8"/>
  <c r="AY15" i="8"/>
  <c r="AY14" i="8"/>
  <c r="AY13" i="8"/>
  <c r="AY12" i="8"/>
  <c r="AY10" i="8"/>
  <c r="AY9" i="8"/>
  <c r="AY8" i="8"/>
  <c r="AY7" i="8"/>
  <c r="AY6" i="8"/>
  <c r="AY5" i="8"/>
  <c r="AX5" i="8"/>
  <c r="AX6" i="8"/>
  <c r="AX7" i="8"/>
  <c r="AX8" i="8"/>
  <c r="AX9" i="8"/>
  <c r="AX10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W59" i="8"/>
  <c r="AW56" i="8"/>
  <c r="AW54" i="8"/>
  <c r="AW52" i="8"/>
  <c r="AW50" i="8"/>
  <c r="AW48" i="8"/>
  <c r="AX45" i="8"/>
  <c r="S56" i="8"/>
  <c r="AX56" i="8" s="1"/>
  <c r="S52" i="8"/>
  <c r="AX52" i="8" s="1"/>
  <c r="S38" i="8"/>
  <c r="AX38" i="8" s="1"/>
  <c r="H21" i="2" l="1"/>
  <c r="H41" i="2"/>
  <c r="R41" i="2" s="1"/>
  <c r="R17" i="2"/>
  <c r="R116" i="2"/>
  <c r="G182" i="1"/>
  <c r="H182" i="1"/>
  <c r="I182" i="1"/>
  <c r="J182" i="1"/>
  <c r="K182" i="1"/>
  <c r="K171" i="1"/>
  <c r="K157" i="1"/>
  <c r="W157" i="1" s="1"/>
  <c r="W158" i="1" s="1"/>
  <c r="W161" i="1" s="1"/>
  <c r="W163" i="1" s="1"/>
  <c r="W183" i="1" s="1"/>
  <c r="W186" i="1" s="1"/>
  <c r="K148" i="1"/>
  <c r="K80" i="1"/>
  <c r="V59" i="1"/>
  <c r="R64" i="1"/>
  <c r="R63" i="1"/>
  <c r="R62" i="1"/>
  <c r="R61" i="1"/>
  <c r="R60" i="1"/>
  <c r="R58" i="1"/>
  <c r="R57" i="1"/>
  <c r="R54" i="1"/>
  <c r="R53" i="1"/>
  <c r="R52" i="1"/>
  <c r="R51" i="1"/>
  <c r="R50" i="1"/>
  <c r="R49" i="1"/>
  <c r="R48" i="1"/>
  <c r="R45" i="1"/>
  <c r="R43" i="1"/>
  <c r="R42" i="1"/>
  <c r="R41" i="1"/>
  <c r="R40" i="1"/>
  <c r="R39" i="1"/>
  <c r="R37" i="1"/>
  <c r="R36" i="1"/>
  <c r="R29" i="1"/>
  <c r="R27" i="1"/>
  <c r="R26" i="1"/>
  <c r="R25" i="1"/>
  <c r="R24" i="1"/>
  <c r="R22" i="1"/>
  <c r="R21" i="1"/>
  <c r="R20" i="1"/>
  <c r="R17" i="1"/>
  <c r="R16" i="1"/>
  <c r="R15" i="1"/>
  <c r="R14" i="1"/>
  <c r="R12" i="1"/>
  <c r="R11" i="1"/>
  <c r="R10" i="1"/>
  <c r="R9" i="1"/>
  <c r="R8" i="1"/>
  <c r="R7" i="1"/>
  <c r="U7" i="1"/>
  <c r="V64" i="1"/>
  <c r="V63" i="1"/>
  <c r="V62" i="1"/>
  <c r="V61" i="1"/>
  <c r="V60" i="1"/>
  <c r="V58" i="1"/>
  <c r="V57" i="1"/>
  <c r="V54" i="1"/>
  <c r="V53" i="1"/>
  <c r="V52" i="1"/>
  <c r="V51" i="1"/>
  <c r="V50" i="1"/>
  <c r="V49" i="1"/>
  <c r="V48" i="1"/>
  <c r="V45" i="1"/>
  <c r="V43" i="1"/>
  <c r="V42" i="1"/>
  <c r="V41" i="1"/>
  <c r="V40" i="1"/>
  <c r="V39" i="1"/>
  <c r="V37" i="1"/>
  <c r="V36" i="1"/>
  <c r="V29" i="1"/>
  <c r="V27" i="1"/>
  <c r="V26" i="1"/>
  <c r="V25" i="1"/>
  <c r="V24" i="1"/>
  <c r="V22" i="1"/>
  <c r="V21" i="1"/>
  <c r="V20" i="1"/>
  <c r="V17" i="1"/>
  <c r="V16" i="1"/>
  <c r="V15" i="1"/>
  <c r="V14" i="1"/>
  <c r="V12" i="1"/>
  <c r="V11" i="1"/>
  <c r="V10" i="1"/>
  <c r="V9" i="1"/>
  <c r="V8" i="1"/>
  <c r="V7" i="1"/>
  <c r="K56" i="1"/>
  <c r="W56" i="1" s="1"/>
  <c r="K47" i="1"/>
  <c r="W47" i="1" s="1"/>
  <c r="K35" i="1"/>
  <c r="K19" i="1"/>
  <c r="W19" i="1" s="1"/>
  <c r="H45" i="2" l="1"/>
  <c r="R45" i="2" s="1"/>
  <c r="R21" i="2"/>
  <c r="G37" i="2"/>
  <c r="Q37" i="2" s="1"/>
  <c r="W80" i="1"/>
  <c r="S50" i="8"/>
  <c r="AX50" i="8" s="1"/>
  <c r="S36" i="8"/>
  <c r="AX36" i="8" s="1"/>
  <c r="S54" i="8"/>
  <c r="AX54" i="8" s="1"/>
  <c r="K158" i="1"/>
  <c r="K161" i="1" s="1"/>
  <c r="K163" i="1" s="1"/>
  <c r="K183" i="1" s="1"/>
  <c r="K186" i="1" s="1"/>
  <c r="K34" i="1"/>
  <c r="S48" i="8" l="1"/>
  <c r="AX48" i="8" s="1"/>
  <c r="W34" i="1"/>
  <c r="W66" i="1" s="1"/>
  <c r="K66" i="1"/>
  <c r="S59" i="8" s="1"/>
  <c r="AX59" i="8" s="1"/>
  <c r="K6" i="1" l="1"/>
  <c r="Y6" i="12"/>
  <c r="K74" i="12"/>
  <c r="K67" i="12"/>
  <c r="K59" i="12"/>
  <c r="K39" i="12"/>
  <c r="K11" i="12"/>
  <c r="S35" i="8" l="1"/>
  <c r="AX35" i="8" s="1"/>
  <c r="W6" i="1"/>
  <c r="W32" i="1" s="1"/>
  <c r="K82" i="1"/>
  <c r="K32" i="1"/>
  <c r="S42" i="8" s="1"/>
  <c r="AX42" i="8" s="1"/>
  <c r="I122" i="11"/>
  <c r="H122" i="11"/>
  <c r="W82" i="1" l="1"/>
  <c r="K85" i="1"/>
  <c r="F64" i="7"/>
  <c r="F63" i="7"/>
  <c r="F57" i="7"/>
  <c r="F56" i="7"/>
  <c r="F50" i="7"/>
  <c r="F49" i="7"/>
  <c r="F43" i="7"/>
  <c r="F42" i="7"/>
  <c r="F36" i="7"/>
  <c r="F35" i="7"/>
  <c r="F29" i="7"/>
  <c r="F28" i="7"/>
  <c r="W85" i="1" l="1"/>
  <c r="H124" i="11"/>
  <c r="H123" i="11"/>
  <c r="K89" i="1"/>
  <c r="W89" i="1" s="1"/>
  <c r="I123" i="11"/>
  <c r="I124" i="11"/>
  <c r="J122" i="11" l="1"/>
  <c r="J124" i="11" l="1"/>
  <c r="J123" i="11"/>
  <c r="F65" i="7" l="1"/>
  <c r="F58" i="7"/>
  <c r="F44" i="7"/>
  <c r="F37" i="7"/>
  <c r="F30" i="7"/>
  <c r="Q51" i="2"/>
  <c r="AU42" i="8"/>
  <c r="AU38" i="8"/>
  <c r="AU36" i="8"/>
  <c r="AU35" i="8"/>
  <c r="AU59" i="8"/>
  <c r="AU56" i="8"/>
  <c r="AU54" i="8"/>
  <c r="AU52" i="8"/>
  <c r="AU50" i="8"/>
  <c r="AU48" i="8"/>
  <c r="AV42" i="8"/>
  <c r="AV38" i="8"/>
  <c r="AV36" i="8"/>
  <c r="AV35" i="8"/>
  <c r="AV59" i="8"/>
  <c r="AV56" i="8"/>
  <c r="AV54" i="8"/>
  <c r="AV52" i="8"/>
  <c r="AV50" i="8"/>
  <c r="AV48" i="8"/>
  <c r="AW42" i="8"/>
  <c r="AW38" i="8"/>
  <c r="AW36" i="8"/>
  <c r="AW35" i="8"/>
  <c r="AW24" i="8"/>
  <c r="AW23" i="8"/>
  <c r="AW22" i="8"/>
  <c r="AW20" i="8"/>
  <c r="AW19" i="8"/>
  <c r="AW18" i="8"/>
  <c r="AW16" i="8"/>
  <c r="AW15" i="8"/>
  <c r="AW13" i="8"/>
  <c r="AW10" i="8"/>
  <c r="AW9" i="8"/>
  <c r="AW8" i="8"/>
  <c r="AW7" i="8"/>
  <c r="AW6" i="8"/>
  <c r="AW5" i="8"/>
  <c r="R12" i="8"/>
  <c r="R14" i="8" s="1"/>
  <c r="R17" i="8" s="1"/>
  <c r="R21" i="8" s="1"/>
  <c r="AW21" i="8" s="1"/>
  <c r="Q82" i="2" l="1"/>
  <c r="Q56" i="2"/>
  <c r="Q64" i="2"/>
  <c r="Q77" i="2"/>
  <c r="Q68" i="2"/>
  <c r="Q57" i="2"/>
  <c r="Q65" i="2"/>
  <c r="Q76" i="2"/>
  <c r="Q55" i="2"/>
  <c r="Q58" i="2"/>
  <c r="Q109" i="2"/>
  <c r="Q75" i="2"/>
  <c r="Q59" i="2"/>
  <c r="Q74" i="2"/>
  <c r="Q60" i="2"/>
  <c r="Q73" i="2"/>
  <c r="Q69" i="2"/>
  <c r="Q61" i="2"/>
  <c r="Q72" i="2"/>
  <c r="Q62" i="2"/>
  <c r="Q71" i="2"/>
  <c r="Q63" i="2"/>
  <c r="AW12" i="8"/>
  <c r="Q91" i="2"/>
  <c r="Q101" i="2"/>
  <c r="Q112" i="2"/>
  <c r="Q92" i="2"/>
  <c r="Q102" i="2"/>
  <c r="Q113" i="2"/>
  <c r="AW14" i="8"/>
  <c r="Q93" i="2"/>
  <c r="Q103" i="2"/>
  <c r="Q114" i="2"/>
  <c r="Q94" i="2"/>
  <c r="Q104" i="2"/>
  <c r="Q87" i="2"/>
  <c r="Q95" i="2"/>
  <c r="Q107" i="2"/>
  <c r="AW17" i="8"/>
  <c r="Q88" i="2"/>
  <c r="Q98" i="2"/>
  <c r="Q108" i="2"/>
  <c r="Q89" i="2"/>
  <c r="Q99" i="2"/>
  <c r="Q110" i="2"/>
  <c r="Q90" i="2"/>
  <c r="Q100" i="2"/>
  <c r="Q111" i="2"/>
  <c r="F51" i="7"/>
  <c r="AV33" i="8" l="1"/>
  <c r="AV46" i="8" s="1"/>
  <c r="AW33" i="8"/>
  <c r="AW46" i="8" s="1"/>
  <c r="AU33" i="8"/>
  <c r="AU46" i="8" s="1"/>
  <c r="AU16" i="8" l="1"/>
  <c r="P12" i="8"/>
  <c r="P24" i="8" s="1"/>
  <c r="P14" i="8" l="1"/>
  <c r="P17" i="8" s="1"/>
  <c r="P21" i="8" s="1"/>
  <c r="AU21" i="8" s="1"/>
  <c r="Q12" i="8"/>
  <c r="Q24" i="8" s="1"/>
  <c r="AV24" i="8" s="1"/>
  <c r="AU5" i="8"/>
  <c r="AV5" i="8"/>
  <c r="AU6" i="8"/>
  <c r="AV6" i="8"/>
  <c r="AU7" i="8"/>
  <c r="AV7" i="8"/>
  <c r="AU8" i="8"/>
  <c r="AV8" i="8"/>
  <c r="AU9" i="8"/>
  <c r="AV9" i="8"/>
  <c r="AU10" i="8"/>
  <c r="AV10" i="8"/>
  <c r="AU12" i="8"/>
  <c r="AU13" i="8"/>
  <c r="AV13" i="8"/>
  <c r="AU15" i="8"/>
  <c r="AV15" i="8"/>
  <c r="AU18" i="8"/>
  <c r="AV18" i="8"/>
  <c r="AU19" i="8"/>
  <c r="AV19" i="8"/>
  <c r="AU20" i="8"/>
  <c r="AV20" i="8"/>
  <c r="AU22" i="8"/>
  <c r="AV22" i="8"/>
  <c r="AU23" i="8"/>
  <c r="AV23" i="8"/>
  <c r="AU24" i="8"/>
  <c r="AU45" i="8"/>
  <c r="AV45" i="8"/>
  <c r="AW45" i="8"/>
  <c r="F47" i="2"/>
  <c r="P47" i="2" s="1"/>
  <c r="F46" i="2"/>
  <c r="P46" i="2" s="1"/>
  <c r="F44" i="2"/>
  <c r="P44" i="2" s="1"/>
  <c r="F43" i="2"/>
  <c r="P43" i="2" s="1"/>
  <c r="F42" i="2"/>
  <c r="P42" i="2" s="1"/>
  <c r="F40" i="2"/>
  <c r="P40" i="2" s="1"/>
  <c r="F38" i="2"/>
  <c r="P38" i="2" s="1"/>
  <c r="F36" i="2"/>
  <c r="P36" i="2" s="1"/>
  <c r="F35" i="2"/>
  <c r="P35" i="2" s="1"/>
  <c r="F34" i="2"/>
  <c r="P34" i="2" s="1"/>
  <c r="F33" i="2"/>
  <c r="P33" i="2" s="1"/>
  <c r="F32" i="2"/>
  <c r="P32" i="2" s="1"/>
  <c r="F31" i="2"/>
  <c r="P31" i="2" s="1"/>
  <c r="AU14" i="8" l="1"/>
  <c r="AU17" i="8"/>
  <c r="Q14" i="8"/>
  <c r="AV12" i="8"/>
  <c r="Q17" i="8" l="1"/>
  <c r="AV14" i="8"/>
  <c r="AV17" i="8" l="1"/>
  <c r="Q21" i="8"/>
  <c r="AV21" i="8" s="1"/>
  <c r="Q23" i="2" l="1"/>
  <c r="Q22" i="2"/>
  <c r="Q20" i="2"/>
  <c r="Q19" i="2"/>
  <c r="Q18" i="2"/>
  <c r="Q15" i="2"/>
  <c r="Q13" i="2"/>
  <c r="Q10" i="2"/>
  <c r="Q9" i="2"/>
  <c r="Q8" i="2"/>
  <c r="Q7" i="2"/>
  <c r="Q6" i="2"/>
  <c r="Q5" i="2"/>
  <c r="G106" i="2"/>
  <c r="G97" i="2"/>
  <c r="G85" i="2"/>
  <c r="G67" i="2"/>
  <c r="G54" i="2"/>
  <c r="G24" i="2"/>
  <c r="Q24" i="2" l="1"/>
  <c r="G48" i="2"/>
  <c r="Q48" i="2" s="1"/>
  <c r="G79" i="2"/>
  <c r="Q97" i="2"/>
  <c r="Q106" i="2"/>
  <c r="Q54" i="2"/>
  <c r="Q67" i="2"/>
  <c r="Q86" i="2"/>
  <c r="Q85" i="2" s="1"/>
  <c r="Q12" i="2"/>
  <c r="G116" i="2"/>
  <c r="G14" i="2"/>
  <c r="G39" i="2" s="1"/>
  <c r="Q39" i="2" s="1"/>
  <c r="O24" i="8"/>
  <c r="O23" i="8"/>
  <c r="O22" i="8"/>
  <c r="O20" i="8"/>
  <c r="O19" i="8"/>
  <c r="O18" i="8"/>
  <c r="O15" i="8"/>
  <c r="O13" i="8"/>
  <c r="O7" i="8"/>
  <c r="O8" i="8"/>
  <c r="O9" i="8"/>
  <c r="O6" i="8"/>
  <c r="Q79" i="2" l="1"/>
  <c r="Q116" i="2"/>
  <c r="G17" i="2"/>
  <c r="Q14" i="2"/>
  <c r="X6" i="12"/>
  <c r="E29" i="12"/>
  <c r="D29" i="12"/>
  <c r="J29" i="12"/>
  <c r="D59" i="12"/>
  <c r="I59" i="12"/>
  <c r="H59" i="12"/>
  <c r="G59" i="12"/>
  <c r="F59" i="12"/>
  <c r="E59" i="12"/>
  <c r="J59" i="12"/>
  <c r="Q17" i="2" l="1"/>
  <c r="G41" i="2"/>
  <c r="Q41" i="2" s="1"/>
  <c r="G21" i="2"/>
  <c r="Q21" i="2" l="1"/>
  <c r="G45" i="2"/>
  <c r="Q45" i="2" s="1"/>
  <c r="I74" i="12"/>
  <c r="F74" i="12"/>
  <c r="E74" i="12"/>
  <c r="J72" i="12"/>
  <c r="J70" i="12"/>
  <c r="G70" i="12"/>
  <c r="G74" i="12" s="1"/>
  <c r="E69" i="12"/>
  <c r="F69" i="12" s="1"/>
  <c r="G69" i="12" s="1"/>
  <c r="H69" i="12" s="1"/>
  <c r="I69" i="12" s="1"/>
  <c r="J69" i="12" s="1"/>
  <c r="K69" i="12" s="1"/>
  <c r="L69" i="12" s="1"/>
  <c r="M69" i="12" s="1"/>
  <c r="N69" i="12" s="1"/>
  <c r="J66" i="12"/>
  <c r="H66" i="12"/>
  <c r="G66" i="12"/>
  <c r="G67" i="12" s="1"/>
  <c r="F66" i="12"/>
  <c r="E62" i="12"/>
  <c r="F62" i="12" s="1"/>
  <c r="G62" i="12" s="1"/>
  <c r="H62" i="12" s="1"/>
  <c r="I62" i="12" s="1"/>
  <c r="J62" i="12" s="1"/>
  <c r="E41" i="12"/>
  <c r="F41" i="12" s="1"/>
  <c r="G41" i="12" s="1"/>
  <c r="H41" i="12" s="1"/>
  <c r="I41" i="12" s="1"/>
  <c r="J41" i="12" s="1"/>
  <c r="K41" i="12" s="1"/>
  <c r="L41" i="12" s="1"/>
  <c r="J39" i="12"/>
  <c r="F39" i="12"/>
  <c r="E39" i="12"/>
  <c r="D39" i="12"/>
  <c r="I39" i="12"/>
  <c r="H39" i="12"/>
  <c r="G39" i="12"/>
  <c r="E31" i="12"/>
  <c r="F31" i="12" s="1"/>
  <c r="G31" i="12" s="1"/>
  <c r="H31" i="12" s="1"/>
  <c r="I31" i="12" s="1"/>
  <c r="J31" i="12" s="1"/>
  <c r="K31" i="12" s="1"/>
  <c r="L31" i="12" s="1"/>
  <c r="M31" i="12" s="1"/>
  <c r="N31" i="12" s="1"/>
  <c r="I24" i="12"/>
  <c r="I29" i="12" s="1"/>
  <c r="H23" i="12"/>
  <c r="H29" i="12" s="1"/>
  <c r="G29" i="12"/>
  <c r="F29" i="12"/>
  <c r="S14" i="12"/>
  <c r="T14" i="12" s="1"/>
  <c r="U14" i="12" s="1"/>
  <c r="V14" i="12" s="1"/>
  <c r="W14" i="12" s="1"/>
  <c r="X14" i="12" s="1"/>
  <c r="Y14" i="12" s="1"/>
  <c r="Z14" i="12" s="1"/>
  <c r="AA14" i="12" s="1"/>
  <c r="E14" i="12"/>
  <c r="F14" i="12" s="1"/>
  <c r="G14" i="12" s="1"/>
  <c r="H14" i="12" s="1"/>
  <c r="I14" i="12" s="1"/>
  <c r="J14" i="12" s="1"/>
  <c r="K14" i="12" s="1"/>
  <c r="L14" i="12" s="1"/>
  <c r="M14" i="12" s="1"/>
  <c r="N14" i="12" s="1"/>
  <c r="J11" i="12"/>
  <c r="H11" i="12"/>
  <c r="G11" i="12"/>
  <c r="F11" i="12"/>
  <c r="E11" i="12"/>
  <c r="D11" i="12"/>
  <c r="I11" i="12"/>
  <c r="W6" i="12"/>
  <c r="V6" i="12"/>
  <c r="T6" i="12"/>
  <c r="S6" i="12"/>
  <c r="R6" i="12"/>
  <c r="U5" i="12"/>
  <c r="U6" i="12" s="1"/>
  <c r="S3" i="12"/>
  <c r="T3" i="12" s="1"/>
  <c r="U3" i="12" s="1"/>
  <c r="V3" i="12" s="1"/>
  <c r="W3" i="12" s="1"/>
  <c r="X3" i="12" s="1"/>
  <c r="Y3" i="12" s="1"/>
  <c r="Z3" i="12" s="1"/>
  <c r="AA3" i="12" s="1"/>
  <c r="E3" i="12"/>
  <c r="F3" i="12" s="1"/>
  <c r="G3" i="12" s="1"/>
  <c r="H3" i="12" s="1"/>
  <c r="I3" i="12" s="1"/>
  <c r="J3" i="12" s="1"/>
  <c r="K3" i="12" s="1"/>
  <c r="L3" i="12" s="1"/>
  <c r="M3" i="12" s="1"/>
  <c r="N3" i="12" s="1"/>
  <c r="J67" i="12" l="1"/>
  <c r="I66" i="12"/>
  <c r="H70" i="12"/>
  <c r="H74" i="12" s="1"/>
  <c r="J74" i="12"/>
  <c r="H67" i="12"/>
  <c r="I67" i="12" l="1"/>
  <c r="J171" i="1" l="1"/>
  <c r="J157" i="1" l="1"/>
  <c r="V157" i="1" s="1"/>
  <c r="V158" i="1" s="1"/>
  <c r="V161" i="1" s="1"/>
  <c r="V163" i="1" s="1"/>
  <c r="V183" i="1" s="1"/>
  <c r="V186" i="1" s="1"/>
  <c r="D148" i="1"/>
  <c r="E148" i="1"/>
  <c r="F148" i="1"/>
  <c r="G148" i="1"/>
  <c r="H148" i="1"/>
  <c r="J148" i="1"/>
  <c r="I148" i="1"/>
  <c r="J84" i="1"/>
  <c r="V84" i="1" s="1"/>
  <c r="J80" i="1"/>
  <c r="V80" i="1" s="1"/>
  <c r="J56" i="1"/>
  <c r="V56" i="1" s="1"/>
  <c r="J47" i="1"/>
  <c r="V47" i="1" s="1"/>
  <c r="J35" i="1"/>
  <c r="J34" i="1" s="1"/>
  <c r="V34" i="1" s="1"/>
  <c r="J19" i="1"/>
  <c r="V19" i="1" s="1"/>
  <c r="J6" i="1"/>
  <c r="V6" i="1" s="1"/>
  <c r="J32" i="1" l="1"/>
  <c r="J82" i="1"/>
  <c r="O12" i="8"/>
  <c r="V66" i="1"/>
  <c r="J66" i="1"/>
  <c r="V32" i="1"/>
  <c r="J158" i="1"/>
  <c r="J161" i="1" s="1"/>
  <c r="J163" i="1" s="1"/>
  <c r="J183" i="1" s="1"/>
  <c r="J186" i="1" s="1"/>
  <c r="V35" i="1"/>
  <c r="G122" i="11"/>
  <c r="G129" i="11" s="1"/>
  <c r="G123" i="11" l="1"/>
  <c r="G130" i="11" s="1"/>
  <c r="O14" i="8"/>
  <c r="O17" i="8" s="1"/>
  <c r="V82" i="1"/>
  <c r="J85" i="1"/>
  <c r="V85" i="1" s="1"/>
  <c r="G124" i="11"/>
  <c r="G131" i="11" s="1"/>
  <c r="H159" i="11"/>
  <c r="H158" i="11"/>
  <c r="H157" i="11"/>
  <c r="H156" i="11"/>
  <c r="H155" i="11"/>
  <c r="J89" i="1" l="1"/>
  <c r="V89" i="1" s="1"/>
  <c r="AT45" i="8"/>
  <c r="AT24" i="8"/>
  <c r="AT23" i="8"/>
  <c r="AT22" i="8"/>
  <c r="AT20" i="8"/>
  <c r="AT19" i="8"/>
  <c r="AT18" i="8"/>
  <c r="AT17" i="8"/>
  <c r="AT15" i="8"/>
  <c r="AT14" i="8"/>
  <c r="AT13" i="8"/>
  <c r="AT12" i="8"/>
  <c r="AT10" i="8"/>
  <c r="AT9" i="8"/>
  <c r="AT8" i="8"/>
  <c r="AT7" i="8"/>
  <c r="AT6" i="8"/>
  <c r="AT5" i="8"/>
  <c r="O21" i="8" l="1"/>
  <c r="AT21" i="8" s="1"/>
  <c r="AS46" i="8"/>
  <c r="AS45" i="8"/>
  <c r="AS5" i="8"/>
  <c r="AS6" i="8"/>
  <c r="AS7" i="8"/>
  <c r="AS8" i="8"/>
  <c r="AS9" i="8"/>
  <c r="AS10" i="8"/>
  <c r="AS13" i="8"/>
  <c r="AS15" i="8"/>
  <c r="AS18" i="8"/>
  <c r="AS20" i="8"/>
  <c r="AS22" i="8"/>
  <c r="E64" i="7"/>
  <c r="E65" i="7" s="1"/>
  <c r="E63" i="7"/>
  <c r="E57" i="7"/>
  <c r="E58" i="7" s="1"/>
  <c r="E56" i="7"/>
  <c r="E50" i="7"/>
  <c r="E49" i="7"/>
  <c r="E51" i="7" s="1"/>
  <c r="E43" i="7"/>
  <c r="E42" i="7"/>
  <c r="E44" i="7" s="1"/>
  <c r="E37" i="7"/>
  <c r="E36" i="7"/>
  <c r="E35" i="7"/>
  <c r="E29" i="7"/>
  <c r="E30" i="7" s="1"/>
  <c r="E28" i="7"/>
  <c r="D23" i="7"/>
  <c r="D16" i="7"/>
  <c r="D9" i="7"/>
  <c r="AS54" i="8" l="1"/>
  <c r="AM38" i="8"/>
  <c r="AP36" i="8"/>
  <c r="AS35" i="8"/>
  <c r="AK35" i="8"/>
  <c r="AT52" i="8"/>
  <c r="AS42" i="8"/>
  <c r="AL38" i="8"/>
  <c r="AO36" i="8"/>
  <c r="AR35" i="8"/>
  <c r="AJ35" i="8"/>
  <c r="AT50" i="8"/>
  <c r="AM35" i="8"/>
  <c r="AS38" i="8"/>
  <c r="AK38" i="8"/>
  <c r="AN36" i="8"/>
  <c r="AQ35" i="8"/>
  <c r="AI35" i="8"/>
  <c r="AT48" i="8"/>
  <c r="AR38" i="8"/>
  <c r="AJ38" i="8"/>
  <c r="AM36" i="8"/>
  <c r="AP35" i="8"/>
  <c r="AT38" i="8"/>
  <c r="AS56" i="8"/>
  <c r="AQ38" i="8"/>
  <c r="AI38" i="8"/>
  <c r="AL36" i="8"/>
  <c r="AO35" i="8"/>
  <c r="AT36" i="8"/>
  <c r="AS52" i="8"/>
  <c r="AL35" i="8"/>
  <c r="AP38" i="8"/>
  <c r="AS36" i="8"/>
  <c r="AK36" i="8"/>
  <c r="AN35" i="8"/>
  <c r="AT35" i="8"/>
  <c r="AO38" i="8"/>
  <c r="AR36" i="8"/>
  <c r="AJ36" i="8"/>
  <c r="AT56" i="8"/>
  <c r="AN38" i="8"/>
  <c r="AQ36" i="8"/>
  <c r="AI36" i="8"/>
  <c r="AT54" i="8"/>
  <c r="AS48" i="8"/>
  <c r="AS50" i="8"/>
  <c r="D29" i="7"/>
  <c r="AT59" i="8" l="1"/>
  <c r="AS59" i="8"/>
  <c r="AS12" i="8"/>
  <c r="D58" i="7" l="1"/>
  <c r="C58" i="7"/>
  <c r="D57" i="7"/>
  <c r="C57" i="7"/>
  <c r="D56" i="7"/>
  <c r="C56" i="7"/>
  <c r="D51" i="7"/>
  <c r="C51" i="7"/>
  <c r="D50" i="7"/>
  <c r="C50" i="7"/>
  <c r="D49" i="7"/>
  <c r="C49" i="7"/>
  <c r="D44" i="7"/>
  <c r="C44" i="7"/>
  <c r="D43" i="7"/>
  <c r="C43" i="7"/>
  <c r="D42" i="7"/>
  <c r="C42" i="7"/>
  <c r="D37" i="7"/>
  <c r="C37" i="7"/>
  <c r="D36" i="7"/>
  <c r="C36" i="7"/>
  <c r="D35" i="7"/>
  <c r="C35" i="7"/>
  <c r="C30" i="7"/>
  <c r="C29" i="7"/>
  <c r="C28" i="7"/>
  <c r="F166" i="11"/>
  <c r="F173" i="11" s="1"/>
  <c r="E166" i="11"/>
  <c r="F165" i="11"/>
  <c r="E165" i="11"/>
  <c r="F164" i="11"/>
  <c r="E164" i="11"/>
  <c r="F163" i="11"/>
  <c r="E163" i="11"/>
  <c r="F162" i="11"/>
  <c r="F169" i="11" s="1"/>
  <c r="E162" i="11"/>
  <c r="F160" i="11"/>
  <c r="F167" i="11" s="1"/>
  <c r="F174" i="11" s="1"/>
  <c r="E160" i="11"/>
  <c r="H160" i="11" s="1"/>
  <c r="F172" i="11" l="1"/>
  <c r="D64" i="7"/>
  <c r="D71" i="7" s="1"/>
  <c r="E170" i="11"/>
  <c r="H163" i="11"/>
  <c r="F171" i="11"/>
  <c r="E169" i="11"/>
  <c r="H169" i="11" s="1"/>
  <c r="H162" i="11"/>
  <c r="E173" i="11"/>
  <c r="H166" i="11"/>
  <c r="E123" i="11"/>
  <c r="E130" i="11" s="1"/>
  <c r="E171" i="11"/>
  <c r="H164" i="11"/>
  <c r="E172" i="11"/>
  <c r="H165" i="11"/>
  <c r="F122" i="11"/>
  <c r="F129" i="11" s="1"/>
  <c r="G173" i="11"/>
  <c r="G169" i="11"/>
  <c r="G170" i="11"/>
  <c r="D123" i="11"/>
  <c r="D130" i="11" s="1"/>
  <c r="G172" i="11"/>
  <c r="F170" i="11"/>
  <c r="G171" i="11"/>
  <c r="C63" i="7"/>
  <c r="C70" i="7" s="1"/>
  <c r="C64" i="7"/>
  <c r="C71" i="7" s="1"/>
  <c r="C65" i="7"/>
  <c r="C72" i="7" s="1"/>
  <c r="D63" i="7"/>
  <c r="D70" i="7" s="1"/>
  <c r="D65" i="7"/>
  <c r="D72" i="7" s="1"/>
  <c r="G168" i="11"/>
  <c r="F168" i="11"/>
  <c r="E161" i="11"/>
  <c r="H161" i="11" s="1"/>
  <c r="E167" i="11"/>
  <c r="H167" i="11" s="1"/>
  <c r="G174" i="11"/>
  <c r="F161" i="11"/>
  <c r="G161" i="11"/>
  <c r="H170" i="11" l="1"/>
  <c r="H171" i="11"/>
  <c r="H173" i="11"/>
  <c r="H172" i="11"/>
  <c r="E124" i="11"/>
  <c r="E131" i="11" s="1"/>
  <c r="F124" i="11"/>
  <c r="D124" i="11"/>
  <c r="D131" i="11" s="1"/>
  <c r="E168" i="11"/>
  <c r="H168" i="11" s="1"/>
  <c r="F123" i="11"/>
  <c r="F130" i="11" s="1"/>
  <c r="F175" i="11"/>
  <c r="D122" i="11"/>
  <c r="D129" i="11" s="1"/>
  <c r="G175" i="11"/>
  <c r="E122" i="11"/>
  <c r="E129" i="11" s="1"/>
  <c r="E174" i="11"/>
  <c r="H174" i="11" s="1"/>
  <c r="AJ46" i="8"/>
  <c r="AK46" i="8"/>
  <c r="AL46" i="8"/>
  <c r="AM46" i="8"/>
  <c r="AN46" i="8"/>
  <c r="AO46" i="8"/>
  <c r="AP46" i="8"/>
  <c r="AQ46" i="8"/>
  <c r="AR46" i="8"/>
  <c r="AI47" i="8"/>
  <c r="AI46" i="8"/>
  <c r="AJ45" i="8"/>
  <c r="AK45" i="8"/>
  <c r="AM45" i="8"/>
  <c r="AN45" i="8"/>
  <c r="AO45" i="8"/>
  <c r="AQ45" i="8"/>
  <c r="AR45" i="8"/>
  <c r="AI45" i="8"/>
  <c r="AR10" i="8"/>
  <c r="AS14" i="8"/>
  <c r="AR7" i="8"/>
  <c r="AR8" i="8"/>
  <c r="AR9" i="8"/>
  <c r="AR13" i="8"/>
  <c r="AR15" i="8"/>
  <c r="AR18" i="8"/>
  <c r="AR20" i="8"/>
  <c r="AR22" i="8"/>
  <c r="AR5" i="8"/>
  <c r="O42" i="8"/>
  <c r="AT42" i="8" s="1"/>
  <c r="AP32" i="8"/>
  <c r="AL32" i="8"/>
  <c r="AP2" i="8"/>
  <c r="AP11" i="8" s="1"/>
  <c r="AL2" i="8"/>
  <c r="AL11" i="8" s="1"/>
  <c r="AO54" i="8" l="1"/>
  <c r="AO48" i="8"/>
  <c r="AO50" i="8"/>
  <c r="AI50" i="8"/>
  <c r="AI48" i="8"/>
  <c r="AI54" i="8"/>
  <c r="AN48" i="8"/>
  <c r="AN50" i="8"/>
  <c r="AN54" i="8"/>
  <c r="AM50" i="8"/>
  <c r="AM54" i="8"/>
  <c r="AM48" i="8"/>
  <c r="AJ48" i="8"/>
  <c r="AJ50" i="8"/>
  <c r="AJ54" i="8"/>
  <c r="AR48" i="8"/>
  <c r="AR50" i="8"/>
  <c r="AR54" i="8"/>
  <c r="AQ50" i="8"/>
  <c r="AQ54" i="8"/>
  <c r="AQ48" i="8"/>
  <c r="AK48" i="8"/>
  <c r="AK50" i="8"/>
  <c r="AK54" i="8"/>
  <c r="AP45" i="8"/>
  <c r="AL45" i="8"/>
  <c r="AS24" i="8"/>
  <c r="E175" i="11"/>
  <c r="H175" i="11" s="1"/>
  <c r="F131" i="11"/>
  <c r="AR6" i="8"/>
  <c r="AL54" i="8" l="1"/>
  <c r="AL50" i="8"/>
  <c r="AL48" i="8"/>
  <c r="AP54" i="8"/>
  <c r="AP48" i="8"/>
  <c r="AP50" i="8"/>
  <c r="AS19" i="8"/>
  <c r="AS17" i="8"/>
  <c r="AS23" i="8"/>
  <c r="AS21" i="8"/>
  <c r="AR12" i="8"/>
  <c r="AR14" i="8"/>
  <c r="AR24" i="8"/>
  <c r="AR19" i="8" l="1"/>
  <c r="AR17" i="8"/>
  <c r="AR23" i="8" l="1"/>
  <c r="AR21" i="8"/>
  <c r="AQ18" i="8" l="1"/>
  <c r="AM15" i="8"/>
  <c r="AM13" i="8"/>
  <c r="AQ13" i="8"/>
  <c r="AQ7" i="8"/>
  <c r="AQ8" i="8"/>
  <c r="AQ9" i="8"/>
  <c r="AM10" i="8"/>
  <c r="AQ10" i="8"/>
  <c r="AM5" i="8"/>
  <c r="AQ5" i="8"/>
  <c r="AI5" i="8"/>
  <c r="M42" i="8"/>
  <c r="AR42" i="8" s="1"/>
  <c r="L42" i="8"/>
  <c r="AQ42" i="8" s="1"/>
  <c r="K42" i="8"/>
  <c r="AP42" i="8" s="1"/>
  <c r="J42" i="8"/>
  <c r="AO42" i="8" s="1"/>
  <c r="I42" i="8"/>
  <c r="AN42" i="8" s="1"/>
  <c r="H42" i="8"/>
  <c r="AM42" i="8" s="1"/>
  <c r="G42" i="8"/>
  <c r="AL42" i="8" s="1"/>
  <c r="F42" i="8"/>
  <c r="AK42" i="8" s="1"/>
  <c r="E42" i="8"/>
  <c r="AJ42" i="8" s="1"/>
  <c r="D42" i="8"/>
  <c r="AI42" i="8" s="1"/>
  <c r="AJ34" i="8"/>
  <c r="AQ22" i="8"/>
  <c r="AO22" i="8"/>
  <c r="AN22" i="8"/>
  <c r="AM22" i="8"/>
  <c r="AK22" i="8"/>
  <c r="AJ22" i="8"/>
  <c r="AI22" i="8"/>
  <c r="AQ20" i="8"/>
  <c r="AO20" i="8"/>
  <c r="AN20" i="8"/>
  <c r="AM20" i="8"/>
  <c r="AK20" i="8"/>
  <c r="AJ20" i="8"/>
  <c r="AI20" i="8"/>
  <c r="AO18" i="8"/>
  <c r="AN18" i="8"/>
  <c r="AK18" i="8"/>
  <c r="AJ18" i="8"/>
  <c r="AI18" i="8"/>
  <c r="AQ15" i="8"/>
  <c r="AO15" i="8"/>
  <c r="AN15" i="8"/>
  <c r="AK15" i="8"/>
  <c r="AJ15" i="8"/>
  <c r="AI15" i="8"/>
  <c r="AO13" i="8"/>
  <c r="AN13" i="8"/>
  <c r="AK13" i="8"/>
  <c r="AJ13" i="8"/>
  <c r="AI13" i="8"/>
  <c r="AO10" i="8"/>
  <c r="AN10" i="8"/>
  <c r="AK10" i="8"/>
  <c r="AJ10" i="8"/>
  <c r="AO9" i="8"/>
  <c r="AN9" i="8"/>
  <c r="AM9" i="8"/>
  <c r="AK9" i="8"/>
  <c r="AJ9" i="8"/>
  <c r="AI9" i="8"/>
  <c r="AO8" i="8"/>
  <c r="AN8" i="8"/>
  <c r="AM8" i="8"/>
  <c r="AK8" i="8"/>
  <c r="AJ8" i="8"/>
  <c r="AI8" i="8"/>
  <c r="AO7" i="8"/>
  <c r="AN7" i="8"/>
  <c r="AM7" i="8"/>
  <c r="AK7" i="8"/>
  <c r="AJ7" i="8"/>
  <c r="AI7" i="8"/>
  <c r="AO6" i="8"/>
  <c r="AN6" i="8"/>
  <c r="AM6" i="8"/>
  <c r="AK6" i="8"/>
  <c r="AJ6" i="8"/>
  <c r="AI6" i="8"/>
  <c r="AO5" i="8"/>
  <c r="AN5" i="8"/>
  <c r="AJ5" i="8"/>
  <c r="AP20" i="8"/>
  <c r="AL20" i="8"/>
  <c r="AI14" i="8" l="1"/>
  <c r="AK5" i="8"/>
  <c r="AK34" i="8"/>
  <c r="AJ47" i="8"/>
  <c r="L59" i="8"/>
  <c r="AQ59" i="8" s="1"/>
  <c r="H59" i="8"/>
  <c r="AM59" i="8" s="1"/>
  <c r="G59" i="8"/>
  <c r="AL59" i="8" s="1"/>
  <c r="K59" i="8"/>
  <c r="AP59" i="8" s="1"/>
  <c r="D59" i="8"/>
  <c r="AI59" i="8" s="1"/>
  <c r="AM18" i="8"/>
  <c r="AQ24" i="8"/>
  <c r="AQ6" i="8"/>
  <c r="AI10" i="8"/>
  <c r="AL24" i="8"/>
  <c r="AL14" i="8"/>
  <c r="AP24" i="8"/>
  <c r="AP14" i="8"/>
  <c r="F59" i="8"/>
  <c r="AK59" i="8" s="1"/>
  <c r="J59" i="8"/>
  <c r="AO59" i="8" s="1"/>
  <c r="AI19" i="8"/>
  <c r="AJ24" i="8"/>
  <c r="AJ19" i="8"/>
  <c r="AJ14" i="8"/>
  <c r="AN24" i="8"/>
  <c r="AN19" i="8"/>
  <c r="AN14" i="8"/>
  <c r="AK24" i="8"/>
  <c r="AK19" i="8"/>
  <c r="AK14" i="8"/>
  <c r="AO24" i="8"/>
  <c r="AO19" i="8"/>
  <c r="AO14" i="8"/>
  <c r="E59" i="8"/>
  <c r="AJ59" i="8" s="1"/>
  <c r="I59" i="8"/>
  <c r="AN59" i="8" s="1"/>
  <c r="M59" i="8"/>
  <c r="AR59" i="8" s="1"/>
  <c r="AI12" i="8"/>
  <c r="AM12" i="8"/>
  <c r="AQ12" i="8"/>
  <c r="AL15" i="8"/>
  <c r="AP15" i="8"/>
  <c r="AL5" i="8"/>
  <c r="AP5" i="8"/>
  <c r="AL7" i="8"/>
  <c r="AP7" i="8"/>
  <c r="AL9" i="8"/>
  <c r="AP9" i="8"/>
  <c r="AJ12" i="8"/>
  <c r="AN12" i="8"/>
  <c r="AL13" i="8"/>
  <c r="AP13" i="8"/>
  <c r="AL19" i="8"/>
  <c r="AP19" i="8"/>
  <c r="AK12" i="8"/>
  <c r="AO12" i="8"/>
  <c r="AL22" i="8"/>
  <c r="AP22" i="8"/>
  <c r="AL6" i="8"/>
  <c r="AP6" i="8"/>
  <c r="AL8" i="8"/>
  <c r="AP8" i="8"/>
  <c r="AL10" i="8"/>
  <c r="AP10" i="8"/>
  <c r="AL12" i="8"/>
  <c r="AP12" i="8"/>
  <c r="AL18" i="8"/>
  <c r="AP18" i="8"/>
  <c r="AI24" i="8" l="1"/>
  <c r="AM19" i="8"/>
  <c r="AM24" i="8"/>
  <c r="AQ14" i="8"/>
  <c r="AQ19" i="8"/>
  <c r="AL34" i="8"/>
  <c r="AK47" i="8"/>
  <c r="AM14" i="8"/>
  <c r="AM17" i="8"/>
  <c r="AJ17" i="8"/>
  <c r="AK17" i="8"/>
  <c r="AN17" i="8"/>
  <c r="AL17" i="8"/>
  <c r="AO17" i="8"/>
  <c r="AI17" i="8"/>
  <c r="AP17" i="8"/>
  <c r="AQ17" i="8" l="1"/>
  <c r="AM34" i="8"/>
  <c r="AL47" i="8"/>
  <c r="AM21" i="8"/>
  <c r="AM23" i="8"/>
  <c r="AL21" i="8"/>
  <c r="AL23" i="8"/>
  <c r="AK21" i="8"/>
  <c r="AK23" i="8"/>
  <c r="AQ21" i="8"/>
  <c r="AQ23" i="8"/>
  <c r="AN21" i="8"/>
  <c r="AN23" i="8"/>
  <c r="AJ21" i="8"/>
  <c r="AJ23" i="8"/>
  <c r="AP21" i="8"/>
  <c r="AP23" i="8"/>
  <c r="AO21" i="8"/>
  <c r="AO23" i="8"/>
  <c r="AI21" i="8"/>
  <c r="AI23" i="8"/>
  <c r="AN34" i="8" l="1"/>
  <c r="AM47" i="8"/>
  <c r="E47" i="2"/>
  <c r="O47" i="2" s="1"/>
  <c r="D47" i="2"/>
  <c r="N47" i="2" s="1"/>
  <c r="E46" i="2"/>
  <c r="D46" i="2"/>
  <c r="E44" i="2"/>
  <c r="O44" i="2" s="1"/>
  <c r="D44" i="2"/>
  <c r="N44" i="2" s="1"/>
  <c r="E43" i="2"/>
  <c r="O43" i="2" s="1"/>
  <c r="D43" i="2"/>
  <c r="N43" i="2" s="1"/>
  <c r="E42" i="2"/>
  <c r="D42" i="2"/>
  <c r="D33" i="2"/>
  <c r="N33" i="2" s="1"/>
  <c r="E33" i="2"/>
  <c r="O33" i="2" s="1"/>
  <c r="D34" i="2"/>
  <c r="N34" i="2" s="1"/>
  <c r="E34" i="2"/>
  <c r="O34" i="2" s="1"/>
  <c r="D35" i="2"/>
  <c r="N35" i="2" s="1"/>
  <c r="E35" i="2"/>
  <c r="O35" i="2" s="1"/>
  <c r="D36" i="2"/>
  <c r="N36" i="2" s="1"/>
  <c r="E36" i="2"/>
  <c r="O36" i="2" s="1"/>
  <c r="E32" i="2"/>
  <c r="O32" i="2" s="1"/>
  <c r="D32" i="2"/>
  <c r="N32" i="2" s="1"/>
  <c r="D38" i="2"/>
  <c r="N38" i="2" s="1"/>
  <c r="E38" i="2"/>
  <c r="O38" i="2" s="1"/>
  <c r="D40" i="2"/>
  <c r="N40" i="2" s="1"/>
  <c r="E40" i="2"/>
  <c r="O40" i="2" s="1"/>
  <c r="E31" i="2"/>
  <c r="O31" i="2" s="1"/>
  <c r="D31" i="2"/>
  <c r="P108" i="2"/>
  <c r="P111" i="2"/>
  <c r="P112" i="2"/>
  <c r="P113" i="2"/>
  <c r="P114" i="2"/>
  <c r="P110" i="2"/>
  <c r="P107" i="2"/>
  <c r="P99" i="2"/>
  <c r="P100" i="2"/>
  <c r="P101" i="2"/>
  <c r="P102" i="2"/>
  <c r="P103" i="2"/>
  <c r="P104" i="2"/>
  <c r="P98" i="2"/>
  <c r="P88" i="2"/>
  <c r="P89" i="2"/>
  <c r="P90" i="2"/>
  <c r="P91" i="2"/>
  <c r="P92" i="2"/>
  <c r="P93" i="2"/>
  <c r="P94" i="2"/>
  <c r="P95" i="2"/>
  <c r="P87" i="2"/>
  <c r="P69" i="2"/>
  <c r="P71" i="2"/>
  <c r="P72" i="2"/>
  <c r="P73" i="2"/>
  <c r="P74" i="2"/>
  <c r="P75" i="2"/>
  <c r="P76" i="2"/>
  <c r="P77" i="2"/>
  <c r="P68" i="2"/>
  <c r="P65" i="2"/>
  <c r="P64" i="2"/>
  <c r="P63" i="2"/>
  <c r="P61" i="2"/>
  <c r="P60" i="2"/>
  <c r="P59" i="2"/>
  <c r="P58" i="2"/>
  <c r="P57" i="2"/>
  <c r="P56" i="2"/>
  <c r="P55" i="2"/>
  <c r="AO34" i="8" l="1"/>
  <c r="AN47" i="8"/>
  <c r="P54" i="2"/>
  <c r="P67" i="2"/>
  <c r="N31" i="2"/>
  <c r="P106" i="2"/>
  <c r="P97" i="2"/>
  <c r="P86" i="2"/>
  <c r="P85" i="2" s="1"/>
  <c r="AP34" i="8" l="1"/>
  <c r="AO47" i="8"/>
  <c r="P79" i="2"/>
  <c r="P116" i="2"/>
  <c r="AQ34" i="8" l="1"/>
  <c r="AP47" i="8"/>
  <c r="AR34" i="8" l="1"/>
  <c r="AQ47" i="8"/>
  <c r="AS34" i="8" l="1"/>
  <c r="AR47" i="8"/>
  <c r="F67" i="2"/>
  <c r="F54" i="2"/>
  <c r="F106" i="2"/>
  <c r="F97" i="2"/>
  <c r="F86" i="2"/>
  <c r="F85" i="2" s="1"/>
  <c r="P5" i="2"/>
  <c r="P6" i="2"/>
  <c r="P7" i="2"/>
  <c r="P8" i="2"/>
  <c r="P9" i="2"/>
  <c r="P10" i="2"/>
  <c r="P13" i="2"/>
  <c r="P15" i="2"/>
  <c r="P18" i="2"/>
  <c r="P19" i="2"/>
  <c r="P20" i="2"/>
  <c r="P22" i="2"/>
  <c r="P23" i="2"/>
  <c r="F12" i="2"/>
  <c r="F37" i="2" s="1"/>
  <c r="P37" i="2" s="1"/>
  <c r="AS47" i="8" l="1"/>
  <c r="AT47" i="8" s="1"/>
  <c r="AU47" i="8" s="1"/>
  <c r="AV47" i="8" s="1"/>
  <c r="AW47" i="8" s="1"/>
  <c r="AT34" i="8"/>
  <c r="AU34" i="8" s="1"/>
  <c r="AV34" i="8" s="1"/>
  <c r="AW34" i="8" s="1"/>
  <c r="F24" i="2"/>
  <c r="F48" i="2" s="1"/>
  <c r="P48" i="2" s="1"/>
  <c r="F79" i="2"/>
  <c r="F116" i="2"/>
  <c r="P12" i="2"/>
  <c r="F14" i="2"/>
  <c r="F39" i="2" s="1"/>
  <c r="P39" i="2" s="1"/>
  <c r="P24" i="2" l="1"/>
  <c r="F17" i="2"/>
  <c r="P14" i="2"/>
  <c r="F41" i="2" l="1"/>
  <c r="P41" i="2" s="1"/>
  <c r="P17" i="2"/>
  <c r="F21" i="2"/>
  <c r="F45" i="2" s="1"/>
  <c r="P45" i="2" s="1"/>
  <c r="P21" i="2" l="1"/>
  <c r="E16" i="5" l="1"/>
  <c r="E15" i="5"/>
  <c r="E14" i="5"/>
  <c r="E12" i="5"/>
  <c r="E10" i="5"/>
  <c r="E17" i="5" s="1"/>
  <c r="I171" i="1"/>
  <c r="I157" i="1"/>
  <c r="U157" i="1" s="1"/>
  <c r="U158" i="1" s="1"/>
  <c r="U161" i="1" s="1"/>
  <c r="U163" i="1" s="1"/>
  <c r="U183" i="1" s="1"/>
  <c r="U186" i="1" s="1"/>
  <c r="I56" i="1"/>
  <c r="I47" i="1"/>
  <c r="I158" i="1" l="1"/>
  <c r="I161" i="1" s="1"/>
  <c r="I163" i="1" s="1"/>
  <c r="I183" i="1" s="1"/>
  <c r="I186" i="1" s="1"/>
  <c r="I35" i="1"/>
  <c r="I34" i="1" s="1"/>
  <c r="I19" i="1"/>
  <c r="I6" i="1"/>
  <c r="I80" i="1" l="1"/>
  <c r="I82" i="1" l="1"/>
  <c r="U80" i="1"/>
  <c r="O42" i="2"/>
  <c r="E24" i="5"/>
  <c r="E18" i="5"/>
  <c r="E23" i="5"/>
  <c r="E22" i="5"/>
  <c r="E21" i="5"/>
  <c r="E20" i="5"/>
  <c r="E13" i="5"/>
  <c r="E19" i="5"/>
  <c r="F10" i="5"/>
  <c r="F17" i="5" s="1"/>
  <c r="F12" i="5"/>
  <c r="F13" i="5"/>
  <c r="F16" i="5"/>
  <c r="H16" i="5" s="1"/>
  <c r="F15" i="5"/>
  <c r="H15" i="5"/>
  <c r="F14" i="5"/>
  <c r="H14" i="5"/>
  <c r="H13" i="5"/>
  <c r="E11" i="5"/>
  <c r="H9" i="5"/>
  <c r="U34" i="1"/>
  <c r="U56" i="1"/>
  <c r="U47" i="1"/>
  <c r="U19" i="1"/>
  <c r="U6" i="1"/>
  <c r="U8" i="1"/>
  <c r="U9" i="1"/>
  <c r="U10" i="1"/>
  <c r="U11" i="1"/>
  <c r="U12" i="1"/>
  <c r="U14" i="1"/>
  <c r="U15" i="1"/>
  <c r="U16" i="1"/>
  <c r="U17" i="1"/>
  <c r="U20" i="1"/>
  <c r="U21" i="1"/>
  <c r="U22" i="1"/>
  <c r="U24" i="1"/>
  <c r="U25" i="1"/>
  <c r="U26" i="1"/>
  <c r="U27" i="1"/>
  <c r="U29" i="1"/>
  <c r="U36" i="1"/>
  <c r="U37" i="1"/>
  <c r="U39" i="1"/>
  <c r="U40" i="1"/>
  <c r="U41" i="1"/>
  <c r="U42" i="1"/>
  <c r="U43" i="1"/>
  <c r="U45" i="1"/>
  <c r="U48" i="1"/>
  <c r="U49" i="1"/>
  <c r="U50" i="1"/>
  <c r="U51" i="1"/>
  <c r="U52" i="1"/>
  <c r="U53" i="1"/>
  <c r="U54" i="1"/>
  <c r="U57" i="1"/>
  <c r="U58" i="1"/>
  <c r="U60" i="1"/>
  <c r="U61" i="1"/>
  <c r="U62" i="1"/>
  <c r="U63" i="1"/>
  <c r="U64" i="1"/>
  <c r="I66" i="1"/>
  <c r="I32" i="1"/>
  <c r="I85" i="1" l="1"/>
  <c r="U82" i="1"/>
  <c r="O46" i="2"/>
  <c r="I68" i="1"/>
  <c r="E25" i="5"/>
  <c r="H12" i="5"/>
  <c r="H10" i="5"/>
  <c r="U35" i="1"/>
  <c r="F23" i="5"/>
  <c r="H23" i="5" s="1"/>
  <c r="G24" i="5"/>
  <c r="H8" i="5"/>
  <c r="G21" i="5"/>
  <c r="H6" i="5"/>
  <c r="H5" i="5"/>
  <c r="H17" i="5"/>
  <c r="R185" i="1"/>
  <c r="Q185" i="1"/>
  <c r="P185" i="1"/>
  <c r="R184" i="1"/>
  <c r="Q184" i="1"/>
  <c r="P184" i="1"/>
  <c r="R181" i="1"/>
  <c r="Q181" i="1"/>
  <c r="P181" i="1"/>
  <c r="R180" i="1"/>
  <c r="Q180" i="1"/>
  <c r="P180" i="1"/>
  <c r="R179" i="1"/>
  <c r="Q179" i="1"/>
  <c r="P179" i="1"/>
  <c r="R177" i="1"/>
  <c r="Q177" i="1"/>
  <c r="P177" i="1"/>
  <c r="R176" i="1"/>
  <c r="Q176" i="1"/>
  <c r="P176" i="1"/>
  <c r="R175" i="1"/>
  <c r="Q175" i="1"/>
  <c r="P175" i="1"/>
  <c r="R174" i="1"/>
  <c r="Q174" i="1"/>
  <c r="P174" i="1"/>
  <c r="R173" i="1"/>
  <c r="Q173" i="1"/>
  <c r="P173" i="1"/>
  <c r="R170" i="1"/>
  <c r="Q170" i="1"/>
  <c r="P170" i="1"/>
  <c r="R169" i="1"/>
  <c r="Q169" i="1"/>
  <c r="P169" i="1"/>
  <c r="R167" i="1"/>
  <c r="Q167" i="1"/>
  <c r="P167" i="1"/>
  <c r="R166" i="1"/>
  <c r="Q166" i="1"/>
  <c r="P166" i="1"/>
  <c r="R165" i="1"/>
  <c r="Q165" i="1"/>
  <c r="P165" i="1"/>
  <c r="R164" i="1"/>
  <c r="Q164" i="1"/>
  <c r="P164" i="1"/>
  <c r="R162" i="1"/>
  <c r="Q162" i="1"/>
  <c r="P162" i="1"/>
  <c r="R160" i="1"/>
  <c r="Q160" i="1"/>
  <c r="P160" i="1"/>
  <c r="R159" i="1"/>
  <c r="Q159" i="1"/>
  <c r="P159" i="1"/>
  <c r="R157" i="1"/>
  <c r="Q157" i="1"/>
  <c r="P157" i="1"/>
  <c r="R156" i="1"/>
  <c r="Q156" i="1"/>
  <c r="P156" i="1"/>
  <c r="R155" i="1"/>
  <c r="Q155" i="1"/>
  <c r="P155" i="1"/>
  <c r="R154" i="1"/>
  <c r="Q154" i="1"/>
  <c r="P154" i="1"/>
  <c r="R153" i="1"/>
  <c r="Q153" i="1"/>
  <c r="P153" i="1"/>
  <c r="R152" i="1"/>
  <c r="Q152" i="1"/>
  <c r="P152" i="1"/>
  <c r="R150" i="1"/>
  <c r="Q150" i="1"/>
  <c r="P150" i="1"/>
  <c r="P133" i="1"/>
  <c r="Q133" i="1"/>
  <c r="R133" i="1"/>
  <c r="P134" i="1"/>
  <c r="Q134" i="1"/>
  <c r="R134" i="1"/>
  <c r="P135" i="1"/>
  <c r="Q135" i="1"/>
  <c r="R135" i="1"/>
  <c r="P138" i="1"/>
  <c r="Q138" i="1"/>
  <c r="R138" i="1"/>
  <c r="P139" i="1"/>
  <c r="Q139" i="1"/>
  <c r="R139" i="1"/>
  <c r="P140" i="1"/>
  <c r="Q140" i="1"/>
  <c r="R140" i="1"/>
  <c r="P141" i="1"/>
  <c r="Q141" i="1"/>
  <c r="R141" i="1"/>
  <c r="P143" i="1"/>
  <c r="Q143" i="1"/>
  <c r="R143" i="1"/>
  <c r="P144" i="1"/>
  <c r="Q144" i="1"/>
  <c r="R144" i="1"/>
  <c r="Q132" i="1"/>
  <c r="R132" i="1"/>
  <c r="P132" i="1"/>
  <c r="H157" i="1"/>
  <c r="T157" i="1" s="1"/>
  <c r="T158" i="1" s="1"/>
  <c r="T161" i="1" s="1"/>
  <c r="T163" i="1" s="1"/>
  <c r="T183" i="1" s="1"/>
  <c r="T186" i="1" s="1"/>
  <c r="G157" i="1"/>
  <c r="S157" i="1" s="1"/>
  <c r="D182" i="1"/>
  <c r="E182" i="1"/>
  <c r="F182" i="1"/>
  <c r="D171" i="1"/>
  <c r="E171" i="1"/>
  <c r="F171" i="1"/>
  <c r="D158" i="1"/>
  <c r="D161" i="1" s="1"/>
  <c r="D163" i="1" s="1"/>
  <c r="E158" i="1"/>
  <c r="E161" i="1" s="1"/>
  <c r="E163" i="1" s="1"/>
  <c r="F158" i="1"/>
  <c r="F161" i="1" s="1"/>
  <c r="F163" i="1" s="1"/>
  <c r="H171" i="1"/>
  <c r="G171" i="1"/>
  <c r="N93" i="2"/>
  <c r="N88" i="2"/>
  <c r="N77" i="2"/>
  <c r="N110" i="2"/>
  <c r="N114" i="2"/>
  <c r="N113" i="2"/>
  <c r="N112" i="2"/>
  <c r="N111" i="2"/>
  <c r="N108" i="2"/>
  <c r="N107" i="2"/>
  <c r="N104" i="2"/>
  <c r="N103" i="2"/>
  <c r="N102" i="2"/>
  <c r="N101" i="2"/>
  <c r="N100" i="2"/>
  <c r="N99" i="2"/>
  <c r="N98" i="2"/>
  <c r="N95" i="2"/>
  <c r="N92" i="2"/>
  <c r="N91" i="2"/>
  <c r="N90" i="2"/>
  <c r="N89" i="2"/>
  <c r="N87" i="2"/>
  <c r="N75" i="2"/>
  <c r="N74" i="2"/>
  <c r="N73" i="2"/>
  <c r="N72" i="2"/>
  <c r="N71" i="2"/>
  <c r="N69" i="2"/>
  <c r="N68" i="2"/>
  <c r="N65" i="2"/>
  <c r="N64" i="2"/>
  <c r="N63" i="2"/>
  <c r="N60" i="2"/>
  <c r="N59" i="2"/>
  <c r="N58" i="2"/>
  <c r="N57" i="2"/>
  <c r="N56" i="2"/>
  <c r="N55" i="2"/>
  <c r="O110" i="2"/>
  <c r="O114" i="2"/>
  <c r="O113" i="2"/>
  <c r="O112" i="2"/>
  <c r="O111" i="2"/>
  <c r="O108" i="2"/>
  <c r="O107" i="2"/>
  <c r="O104" i="2"/>
  <c r="O103" i="2"/>
  <c r="O102" i="2"/>
  <c r="O101" i="2"/>
  <c r="O100" i="2"/>
  <c r="O99" i="2"/>
  <c r="O98" i="2"/>
  <c r="O95" i="2"/>
  <c r="O93" i="2"/>
  <c r="O92" i="2"/>
  <c r="O91" i="2"/>
  <c r="O90" i="2"/>
  <c r="O89" i="2"/>
  <c r="O88" i="2"/>
  <c r="O87" i="2"/>
  <c r="O77" i="2"/>
  <c r="O75" i="2"/>
  <c r="O74" i="2"/>
  <c r="O73" i="2"/>
  <c r="O72" i="2"/>
  <c r="O71" i="2"/>
  <c r="O69" i="2"/>
  <c r="O68" i="2"/>
  <c r="O56" i="2"/>
  <c r="O57" i="2"/>
  <c r="O58" i="2"/>
  <c r="O59" i="2"/>
  <c r="O60" i="2"/>
  <c r="O63" i="2"/>
  <c r="O64" i="2"/>
  <c r="O65" i="2"/>
  <c r="O55" i="2"/>
  <c r="D54" i="2"/>
  <c r="D67" i="2"/>
  <c r="D106" i="2"/>
  <c r="D97" i="2"/>
  <c r="D86" i="2"/>
  <c r="D85" i="2" s="1"/>
  <c r="O5" i="2"/>
  <c r="O6" i="2"/>
  <c r="O7" i="2"/>
  <c r="O8" i="2"/>
  <c r="O9" i="2"/>
  <c r="O10" i="2"/>
  <c r="O13" i="2"/>
  <c r="O15" i="2"/>
  <c r="O18" i="2"/>
  <c r="O19" i="2"/>
  <c r="O20" i="2"/>
  <c r="O22" i="2"/>
  <c r="O23" i="2"/>
  <c r="N6" i="2"/>
  <c r="N7" i="2"/>
  <c r="N8" i="2"/>
  <c r="N9" i="2"/>
  <c r="N10" i="2"/>
  <c r="N13" i="2"/>
  <c r="N15" i="2"/>
  <c r="N18" i="2"/>
  <c r="N19" i="2"/>
  <c r="N20" i="2"/>
  <c r="N22" i="2"/>
  <c r="N23" i="2"/>
  <c r="N5" i="2"/>
  <c r="E106" i="2"/>
  <c r="E97" i="2"/>
  <c r="E86" i="2"/>
  <c r="E85" i="2" s="1"/>
  <c r="E67" i="2"/>
  <c r="E54" i="2"/>
  <c r="D12" i="2"/>
  <c r="R124" i="1"/>
  <c r="Q124" i="1"/>
  <c r="P124" i="1"/>
  <c r="O124" i="1"/>
  <c r="P122" i="1"/>
  <c r="Q122" i="1"/>
  <c r="R122" i="1"/>
  <c r="P123" i="1"/>
  <c r="Q123" i="1"/>
  <c r="R123" i="1"/>
  <c r="O123" i="1"/>
  <c r="O122" i="1"/>
  <c r="O100" i="1"/>
  <c r="P100" i="1"/>
  <c r="Q100" i="1"/>
  <c r="O102" i="1"/>
  <c r="P102" i="1"/>
  <c r="Q102" i="1"/>
  <c r="O103" i="1"/>
  <c r="P103" i="1"/>
  <c r="Q103" i="1"/>
  <c r="O104" i="1"/>
  <c r="P104" i="1"/>
  <c r="Q104" i="1"/>
  <c r="O106" i="1"/>
  <c r="P106" i="1"/>
  <c r="Q106" i="1"/>
  <c r="P107" i="1"/>
  <c r="Q107" i="1"/>
  <c r="O109" i="1"/>
  <c r="P109" i="1"/>
  <c r="Q109" i="1"/>
  <c r="O111" i="1"/>
  <c r="P111" i="1"/>
  <c r="Q111" i="1"/>
  <c r="O113" i="1"/>
  <c r="P113" i="1"/>
  <c r="Q113" i="1"/>
  <c r="O114" i="1"/>
  <c r="P114" i="1"/>
  <c r="Q114" i="1"/>
  <c r="O115" i="1"/>
  <c r="P115" i="1"/>
  <c r="Q115" i="1"/>
  <c r="O116" i="1"/>
  <c r="P116" i="1"/>
  <c r="Q116" i="1"/>
  <c r="O117" i="1"/>
  <c r="P117" i="1"/>
  <c r="Q117" i="1"/>
  <c r="O119" i="1"/>
  <c r="P119" i="1"/>
  <c r="Q119" i="1"/>
  <c r="O120" i="1"/>
  <c r="P120" i="1"/>
  <c r="Q120" i="1"/>
  <c r="P99" i="1"/>
  <c r="Q99" i="1"/>
  <c r="O99" i="1"/>
  <c r="G80" i="1"/>
  <c r="G108" i="1"/>
  <c r="R108" i="1" s="1"/>
  <c r="E108" i="1"/>
  <c r="P108" i="1" s="1"/>
  <c r="F108" i="1"/>
  <c r="Q108" i="1" s="1"/>
  <c r="E12" i="2"/>
  <c r="H80" i="1"/>
  <c r="T80" i="1" s="1"/>
  <c r="D107" i="1"/>
  <c r="O107" i="1" s="1"/>
  <c r="G101" i="1"/>
  <c r="R101" i="1" s="1"/>
  <c r="F101" i="1"/>
  <c r="F105" i="1" s="1"/>
  <c r="E101" i="1"/>
  <c r="P101" i="1" s="1"/>
  <c r="D101" i="1"/>
  <c r="T64" i="1"/>
  <c r="S64" i="1"/>
  <c r="Q64" i="1"/>
  <c r="P64" i="1"/>
  <c r="T63" i="1"/>
  <c r="S63" i="1"/>
  <c r="Q63" i="1"/>
  <c r="P63" i="1"/>
  <c r="T62" i="1"/>
  <c r="S62" i="1"/>
  <c r="Q62" i="1"/>
  <c r="P62" i="1"/>
  <c r="T61" i="1"/>
  <c r="S61" i="1"/>
  <c r="Q61" i="1"/>
  <c r="P61" i="1"/>
  <c r="T60" i="1"/>
  <c r="S60" i="1"/>
  <c r="Q60" i="1"/>
  <c r="P60" i="1"/>
  <c r="T58" i="1"/>
  <c r="S58" i="1"/>
  <c r="Q58" i="1"/>
  <c r="P58" i="1"/>
  <c r="T57" i="1"/>
  <c r="S57" i="1"/>
  <c r="Q57" i="1"/>
  <c r="P57" i="1"/>
  <c r="T54" i="1"/>
  <c r="S54" i="1"/>
  <c r="Q54" i="1"/>
  <c r="P54" i="1"/>
  <c r="T53" i="1"/>
  <c r="S53" i="1"/>
  <c r="Q53" i="1"/>
  <c r="P53" i="1"/>
  <c r="T52" i="1"/>
  <c r="S52" i="1"/>
  <c r="Q52" i="1"/>
  <c r="P52" i="1"/>
  <c r="T51" i="1"/>
  <c r="S51" i="1"/>
  <c r="Q51" i="1"/>
  <c r="P51" i="1"/>
  <c r="T50" i="1"/>
  <c r="S50" i="1"/>
  <c r="Q50" i="1"/>
  <c r="P50" i="1"/>
  <c r="T49" i="1"/>
  <c r="S49" i="1"/>
  <c r="Q49" i="1"/>
  <c r="P49" i="1"/>
  <c r="T48" i="1"/>
  <c r="S48" i="1"/>
  <c r="Q48" i="1"/>
  <c r="P48" i="1"/>
  <c r="T45" i="1"/>
  <c r="S45" i="1"/>
  <c r="Q45" i="1"/>
  <c r="P45" i="1"/>
  <c r="T43" i="1"/>
  <c r="S43" i="1"/>
  <c r="Q43" i="1"/>
  <c r="P43" i="1"/>
  <c r="T42" i="1"/>
  <c r="S42" i="1"/>
  <c r="Q42" i="1"/>
  <c r="P42" i="1"/>
  <c r="T41" i="1"/>
  <c r="S41" i="1"/>
  <c r="Q41" i="1"/>
  <c r="P41" i="1"/>
  <c r="T40" i="1"/>
  <c r="S40" i="1"/>
  <c r="Q40" i="1"/>
  <c r="P40" i="1"/>
  <c r="T39" i="1"/>
  <c r="S39" i="1"/>
  <c r="Q39" i="1"/>
  <c r="P39" i="1"/>
  <c r="T37" i="1"/>
  <c r="S37" i="1"/>
  <c r="Q37" i="1"/>
  <c r="P37" i="1"/>
  <c r="T36" i="1"/>
  <c r="S36" i="1"/>
  <c r="Q36" i="1"/>
  <c r="P36" i="1"/>
  <c r="T29" i="1"/>
  <c r="S29" i="1"/>
  <c r="Q29" i="1"/>
  <c r="P29" i="1"/>
  <c r="T27" i="1"/>
  <c r="S27" i="1"/>
  <c r="Q27" i="1"/>
  <c r="P27" i="1"/>
  <c r="T26" i="1"/>
  <c r="S26" i="1"/>
  <c r="Q26" i="1"/>
  <c r="P26" i="1"/>
  <c r="T25" i="1"/>
  <c r="S25" i="1"/>
  <c r="Q25" i="1"/>
  <c r="P25" i="1"/>
  <c r="T24" i="1"/>
  <c r="S24" i="1"/>
  <c r="Q24" i="1"/>
  <c r="P24" i="1"/>
  <c r="T22" i="1"/>
  <c r="S22" i="1"/>
  <c r="Q22" i="1"/>
  <c r="P22" i="1"/>
  <c r="T21" i="1"/>
  <c r="S21" i="1"/>
  <c r="Q21" i="1"/>
  <c r="P21" i="1"/>
  <c r="T20" i="1"/>
  <c r="S20" i="1"/>
  <c r="Q20" i="1"/>
  <c r="P20" i="1"/>
  <c r="Q7" i="1"/>
  <c r="S7" i="1"/>
  <c r="T7" i="1"/>
  <c r="Q8" i="1"/>
  <c r="S8" i="1"/>
  <c r="T8" i="1"/>
  <c r="Q9" i="1"/>
  <c r="S9" i="1"/>
  <c r="T9" i="1"/>
  <c r="Q10" i="1"/>
  <c r="S10" i="1"/>
  <c r="T10" i="1"/>
  <c r="Q11" i="1"/>
  <c r="S11" i="1"/>
  <c r="T11" i="1"/>
  <c r="Q12" i="1"/>
  <c r="S12" i="1"/>
  <c r="T12" i="1"/>
  <c r="Q14" i="1"/>
  <c r="S14" i="1"/>
  <c r="T14" i="1"/>
  <c r="Q15" i="1"/>
  <c r="S15" i="1"/>
  <c r="T15" i="1"/>
  <c r="Q16" i="1"/>
  <c r="S16" i="1"/>
  <c r="T16" i="1"/>
  <c r="Q17" i="1"/>
  <c r="S17" i="1"/>
  <c r="T17" i="1"/>
  <c r="P8" i="1"/>
  <c r="P9" i="1"/>
  <c r="P10" i="1"/>
  <c r="P11" i="1"/>
  <c r="P12" i="1"/>
  <c r="P14" i="1"/>
  <c r="P15" i="1"/>
  <c r="P16" i="1"/>
  <c r="P17" i="1"/>
  <c r="P7" i="1"/>
  <c r="D6" i="1"/>
  <c r="E6" i="1"/>
  <c r="F6" i="1"/>
  <c r="G6" i="1"/>
  <c r="D35" i="1"/>
  <c r="D34" i="1" s="1"/>
  <c r="E35" i="1"/>
  <c r="E34" i="1" s="1"/>
  <c r="F35" i="1"/>
  <c r="F34" i="1" s="1"/>
  <c r="G35" i="1"/>
  <c r="G34" i="1" s="1"/>
  <c r="D56" i="1"/>
  <c r="E56" i="1"/>
  <c r="F56" i="1"/>
  <c r="G56" i="1"/>
  <c r="D47" i="1"/>
  <c r="E47" i="1"/>
  <c r="F47" i="1"/>
  <c r="D19" i="1"/>
  <c r="E19" i="1"/>
  <c r="F19" i="1"/>
  <c r="H56" i="1"/>
  <c r="H47" i="1"/>
  <c r="G47" i="1"/>
  <c r="H35" i="1"/>
  <c r="H34" i="1" s="1"/>
  <c r="H19" i="1"/>
  <c r="G19" i="1"/>
  <c r="H6" i="1"/>
  <c r="Q182" i="1" l="1"/>
  <c r="P182" i="1"/>
  <c r="R182" i="1"/>
  <c r="G92" i="1"/>
  <c r="S92" i="1" s="1"/>
  <c r="S80" i="1"/>
  <c r="U85" i="1"/>
  <c r="I89" i="1"/>
  <c r="U89" i="1" s="1"/>
  <c r="F66" i="1"/>
  <c r="E32" i="1"/>
  <c r="F183" i="1"/>
  <c r="F186" i="1" s="1"/>
  <c r="P148" i="1"/>
  <c r="P158" i="1" s="1"/>
  <c r="P161" i="1" s="1"/>
  <c r="P163" i="1" s="1"/>
  <c r="S148" i="1"/>
  <c r="S158" i="1" s="1"/>
  <c r="S161" i="1" s="1"/>
  <c r="S163" i="1" s="1"/>
  <c r="R148" i="1"/>
  <c r="R158" i="1" s="1"/>
  <c r="R161" i="1" s="1"/>
  <c r="R163" i="1" s="1"/>
  <c r="Q148" i="1"/>
  <c r="Q158" i="1" s="1"/>
  <c r="Q161" i="1" s="1"/>
  <c r="Q163" i="1" s="1"/>
  <c r="D32" i="1"/>
  <c r="H32" i="1"/>
  <c r="G23" i="5"/>
  <c r="G22" i="5"/>
  <c r="O54" i="2"/>
  <c r="N67" i="2"/>
  <c r="G82" i="1"/>
  <c r="S82" i="1" s="1"/>
  <c r="P171" i="1"/>
  <c r="P35" i="1"/>
  <c r="P34" i="1" s="1"/>
  <c r="Q35" i="1"/>
  <c r="Q34" i="1" s="1"/>
  <c r="T6" i="1"/>
  <c r="D37" i="2"/>
  <c r="N37" i="2" s="1"/>
  <c r="O12" i="2"/>
  <c r="E37" i="2"/>
  <c r="O37" i="2" s="1"/>
  <c r="O67" i="2"/>
  <c r="N54" i="2"/>
  <c r="G20" i="5"/>
  <c r="G11" i="5"/>
  <c r="E116" i="2"/>
  <c r="D116" i="2"/>
  <c r="O106" i="2"/>
  <c r="O86" i="2"/>
  <c r="O85" i="2" s="1"/>
  <c r="O97" i="2"/>
  <c r="N106" i="2"/>
  <c r="E14" i="2"/>
  <c r="E79" i="2"/>
  <c r="D79" i="2"/>
  <c r="N97" i="2"/>
  <c r="E24" i="2"/>
  <c r="Q6" i="1"/>
  <c r="R56" i="1"/>
  <c r="S56" i="1"/>
  <c r="T47" i="1"/>
  <c r="R47" i="1"/>
  <c r="S35" i="1"/>
  <c r="S34" i="1" s="1"/>
  <c r="F32" i="1"/>
  <c r="S6" i="1"/>
  <c r="F21" i="5"/>
  <c r="H21" i="5" s="1"/>
  <c r="H7" i="5"/>
  <c r="G19" i="5"/>
  <c r="F22" i="5"/>
  <c r="H22" i="5" s="1"/>
  <c r="F11" i="5"/>
  <c r="Q19" i="1"/>
  <c r="T19" i="1"/>
  <c r="P47" i="1"/>
  <c r="F110" i="1"/>
  <c r="G85" i="1"/>
  <c r="Q105" i="1"/>
  <c r="D183" i="1"/>
  <c r="D186" i="1" s="1"/>
  <c r="R19" i="1"/>
  <c r="P19" i="1"/>
  <c r="R35" i="1"/>
  <c r="R34" i="1" s="1"/>
  <c r="T35" i="1"/>
  <c r="T34" i="1" s="1"/>
  <c r="Q47" i="1"/>
  <c r="Q56" i="1"/>
  <c r="G32" i="1"/>
  <c r="G66" i="1"/>
  <c r="P56" i="1"/>
  <c r="T56" i="1"/>
  <c r="E105" i="1"/>
  <c r="Q101" i="1"/>
  <c r="U66" i="1"/>
  <c r="H66" i="1"/>
  <c r="P6" i="1"/>
  <c r="R6" i="1"/>
  <c r="D66" i="1"/>
  <c r="D108" i="1"/>
  <c r="O108" i="1" s="1"/>
  <c r="G158" i="1"/>
  <c r="G161" i="1" s="1"/>
  <c r="G163" i="1" s="1"/>
  <c r="G183" i="1" s="1"/>
  <c r="G186" i="1" s="1"/>
  <c r="E183" i="1"/>
  <c r="E186" i="1" s="1"/>
  <c r="R171" i="1"/>
  <c r="U32" i="1"/>
  <c r="N12" i="2"/>
  <c r="D14" i="2"/>
  <c r="D24" i="2"/>
  <c r="D105" i="1"/>
  <c r="O101" i="1"/>
  <c r="Q171" i="1"/>
  <c r="G105" i="1"/>
  <c r="R105" i="1" s="1"/>
  <c r="E66" i="1"/>
  <c r="S19" i="1"/>
  <c r="S47" i="1"/>
  <c r="H82" i="1"/>
  <c r="T82" i="1" s="1"/>
  <c r="H92" i="1"/>
  <c r="T92" i="1" s="1"/>
  <c r="N86" i="2"/>
  <c r="N85" i="2" s="1"/>
  <c r="S171" i="1"/>
  <c r="H158" i="1"/>
  <c r="H161" i="1" s="1"/>
  <c r="H163" i="1" s="1"/>
  <c r="H183" i="1" s="1"/>
  <c r="H186" i="1" s="1"/>
  <c r="F18" i="5"/>
  <c r="H18" i="5" s="1"/>
  <c r="G18" i="5"/>
  <c r="F24" i="5"/>
  <c r="F19" i="5"/>
  <c r="H19" i="5" s="1"/>
  <c r="F20" i="5"/>
  <c r="H20" i="5" s="1"/>
  <c r="H68" i="1" l="1"/>
  <c r="H11" i="5"/>
  <c r="E68" i="1"/>
  <c r="G89" i="1"/>
  <c r="S89" i="1" s="1"/>
  <c r="S85" i="1"/>
  <c r="F68" i="1"/>
  <c r="D68" i="1"/>
  <c r="N79" i="2"/>
  <c r="R183" i="1"/>
  <c r="R186" i="1" s="1"/>
  <c r="O79" i="2"/>
  <c r="P183" i="1"/>
  <c r="P186" i="1" s="1"/>
  <c r="G25" i="5"/>
  <c r="E48" i="2"/>
  <c r="O48" i="2" s="1"/>
  <c r="D48" i="2"/>
  <c r="N48" i="2" s="1"/>
  <c r="D39" i="2"/>
  <c r="N39" i="2" s="1"/>
  <c r="S32" i="1"/>
  <c r="R66" i="1"/>
  <c r="T32" i="1"/>
  <c r="Q32" i="1"/>
  <c r="O14" i="2"/>
  <c r="E39" i="2"/>
  <c r="O39" i="2" s="1"/>
  <c r="O24" i="2"/>
  <c r="N24" i="2"/>
  <c r="N116" i="2"/>
  <c r="E17" i="2"/>
  <c r="O116" i="2"/>
  <c r="P66" i="1"/>
  <c r="R32" i="1"/>
  <c r="P32" i="1"/>
  <c r="Q66" i="1"/>
  <c r="S66" i="1"/>
  <c r="T66" i="1"/>
  <c r="P105" i="1"/>
  <c r="E110" i="1"/>
  <c r="G68" i="1"/>
  <c r="Q183" i="1"/>
  <c r="Q186" i="1" s="1"/>
  <c r="Q110" i="1"/>
  <c r="F112" i="1"/>
  <c r="T68" i="1"/>
  <c r="S183" i="1"/>
  <c r="S186" i="1" s="1"/>
  <c r="N14" i="2"/>
  <c r="D17" i="2"/>
  <c r="N17" i="2" s="1"/>
  <c r="F25" i="5"/>
  <c r="H25" i="5" s="1"/>
  <c r="H85" i="1"/>
  <c r="T85" i="1" s="1"/>
  <c r="G110" i="1"/>
  <c r="R110" i="1" s="1"/>
  <c r="O105" i="1"/>
  <c r="D110" i="1"/>
  <c r="S68" i="1" l="1"/>
  <c r="E41" i="2"/>
  <c r="O41" i="2" s="1"/>
  <c r="O17" i="2"/>
  <c r="D41" i="2"/>
  <c r="N41" i="2" s="1"/>
  <c r="R68" i="1"/>
  <c r="O68" i="1"/>
  <c r="Q68" i="1"/>
  <c r="P68" i="1"/>
  <c r="N42" i="2"/>
  <c r="E21" i="2"/>
  <c r="E45" i="2" s="1"/>
  <c r="F118" i="1"/>
  <c r="Q118" i="1" s="1"/>
  <c r="Q112" i="1"/>
  <c r="E112" i="1"/>
  <c r="P110" i="1"/>
  <c r="O110" i="1"/>
  <c r="D112" i="1"/>
  <c r="D21" i="2"/>
  <c r="H89" i="1"/>
  <c r="G112" i="1"/>
  <c r="R112" i="1" s="1"/>
  <c r="D45" i="2" l="1"/>
  <c r="T89" i="1"/>
  <c r="N46" i="2"/>
  <c r="N21" i="2"/>
  <c r="N45" i="2"/>
  <c r="O21" i="2"/>
  <c r="O45" i="2"/>
  <c r="P112" i="1"/>
  <c r="E118" i="1"/>
  <c r="P118" i="1" s="1"/>
  <c r="G118" i="1"/>
  <c r="R118" i="1" s="1"/>
  <c r="O112" i="1"/>
  <c r="D118" i="1"/>
  <c r="O1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Szécsi Balázs</author>
  </authors>
  <commentList>
    <comment ref="I54" authorId="0" shapeId="0" xr:uid="{DB273A8F-B1A5-416A-9DC1-C21A168D9BD6}">
      <text>
        <r>
          <rPr>
            <b/>
            <sz val="9"/>
            <color indexed="81"/>
            <rFont val="Tahoma"/>
            <family val="2"/>
            <charset val="238"/>
          </rPr>
          <t>Szécsi Balázs:</t>
        </r>
        <r>
          <rPr>
            <sz val="9"/>
            <color indexed="81"/>
            <rFont val="Tahoma"/>
            <family val="2"/>
            <charset val="238"/>
          </rPr>
          <t xml:space="preserve">
Zugló: vételár fizetési kötelem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Szécsi Balázs</author>
  </authors>
  <commentList>
    <comment ref="H43" authorId="0" shapeId="0" xr:uid="{CFEB958E-C42B-4EAF-AC0F-8280C7E46B4D}">
      <text>
        <r>
          <rPr>
            <b/>
            <sz val="9"/>
            <color indexed="81"/>
            <rFont val="Tahoma"/>
            <family val="2"/>
            <charset val="238"/>
          </rPr>
          <t>Szécsi Balázs:</t>
        </r>
        <r>
          <rPr>
            <sz val="9"/>
            <color indexed="81"/>
            <rFont val="Tahoma"/>
            <family val="2"/>
            <charset val="238"/>
          </rPr>
          <t xml:space="preserve">
3 hónap van csak KÁT-ban, a többi a piaci alapúban</t>
        </r>
      </text>
    </comment>
    <comment ref="B52" authorId="0" shapeId="0" xr:uid="{2F891499-9612-4837-AB33-3443804A3380}">
      <text>
        <r>
          <rPr>
            <b/>
            <sz val="9"/>
            <color indexed="81"/>
            <rFont val="Tahoma"/>
            <family val="2"/>
            <charset val="238"/>
          </rPr>
          <t>Szécsi Balázs:</t>
        </r>
        <r>
          <rPr>
            <sz val="9"/>
            <color indexed="81"/>
            <rFont val="Tahoma"/>
            <family val="2"/>
            <charset val="238"/>
          </rPr>
          <t xml:space="preserve">
nem konszolidálódik, az ALTEO csak üzemeltet</t>
        </r>
      </text>
    </comment>
  </commentList>
</comments>
</file>

<file path=xl/sharedStrings.xml><?xml version="1.0" encoding="utf-8"?>
<sst xmlns="http://schemas.openxmlformats.org/spreadsheetml/2006/main" count="1687" uniqueCount="518">
  <si>
    <t>Mérleg</t>
  </si>
  <si>
    <t>Balance sheet</t>
  </si>
  <si>
    <t>'000 HUF</t>
  </si>
  <si>
    <t>FY</t>
  </si>
  <si>
    <t>Befektetett eszközök</t>
  </si>
  <si>
    <t>Fixed assets</t>
  </si>
  <si>
    <t>Erőművek és energiatermelő ingatlanok, gépek és berendezések</t>
  </si>
  <si>
    <t>Power plant and relatd equipments</t>
  </si>
  <si>
    <t>Egyéb gépek, felszerelések és berendezések</t>
  </si>
  <si>
    <t>Other equipment</t>
  </si>
  <si>
    <t>Nettó befektetés lízingbe</t>
  </si>
  <si>
    <t>Net investment into leased assets</t>
  </si>
  <si>
    <t>-</t>
  </si>
  <si>
    <t>Kibocsátási jogok</t>
  </si>
  <si>
    <t>Emission rights</t>
  </si>
  <si>
    <t>Egyéb immateriális eszközök</t>
  </si>
  <si>
    <t>Other intangible assets</t>
  </si>
  <si>
    <t>Üzemeltetési szerződések</t>
  </si>
  <si>
    <t>Operational contracts</t>
  </si>
  <si>
    <t>Goodwill</t>
  </si>
  <si>
    <t>--</t>
  </si>
  <si>
    <t>Halasztott adó eszközök</t>
  </si>
  <si>
    <t>Deferred tax assets</t>
  </si>
  <si>
    <t>Tartósan adott kölcsön</t>
  </si>
  <si>
    <t>Long term loans</t>
  </si>
  <si>
    <t>Tartós részesedés kapcsolt vállalkozásban</t>
  </si>
  <si>
    <t>Forgóeszközök</t>
  </si>
  <si>
    <t>Current assets</t>
  </si>
  <si>
    <t>Készletek</t>
  </si>
  <si>
    <t>Invetories</t>
  </si>
  <si>
    <t>Vevőkövetelések</t>
  </si>
  <si>
    <t>Receivables</t>
  </si>
  <si>
    <t>Egyéb pénzügyi eszközök</t>
  </si>
  <si>
    <t>Other financial assets</t>
  </si>
  <si>
    <t>Egyéb követelések és időbeli elhatárolások</t>
  </si>
  <si>
    <t>Other receivables and accruals</t>
  </si>
  <si>
    <t>Nyereségadó követelések</t>
  </si>
  <si>
    <t>Corporate income tax receivables</t>
  </si>
  <si>
    <t>Pénzeszközök és egyenértékeseik</t>
  </si>
  <si>
    <t>Cash &amp; cash equivalents</t>
  </si>
  <si>
    <t>Értékesítési céllal tartott eszközök</t>
  </si>
  <si>
    <t>Assets held for sale</t>
  </si>
  <si>
    <t>ESZKÖZÖK ÖSSZESEN</t>
  </si>
  <si>
    <t>Total assets</t>
  </si>
  <si>
    <t>Saját tőke</t>
  </si>
  <si>
    <t xml:space="preserve">Equity  </t>
  </si>
  <si>
    <t>Anyavállalat tulajdonosaira jutó tőke</t>
  </si>
  <si>
    <t>Equity attributable to shareholders</t>
  </si>
  <si>
    <t>Jegyzett tőke</t>
  </si>
  <si>
    <t>Share capital</t>
  </si>
  <si>
    <t>Additional paid-in capital</t>
  </si>
  <si>
    <t>Részvény alapú kifizetések tartaléka</t>
  </si>
  <si>
    <t>Share based payment reserve</t>
  </si>
  <si>
    <t>Eredménytartalék</t>
  </si>
  <si>
    <t>Retained earnings</t>
  </si>
  <si>
    <t>Saját részvény miatti tulajdonosi tranzakció</t>
  </si>
  <si>
    <t>Adjustment due to treasury shares</t>
  </si>
  <si>
    <t>Cash flow hedge tartaléka</t>
  </si>
  <si>
    <t>Cash flow hedge reserves</t>
  </si>
  <si>
    <t>Átváltási különbözet</t>
  </si>
  <si>
    <t>Nem kontrolláló érdekeltség</t>
  </si>
  <si>
    <t>Minority interest</t>
  </si>
  <si>
    <t>Hosszú lejáratú kötelezettségek</t>
  </si>
  <si>
    <t>Long term liabilities</t>
  </si>
  <si>
    <t>Hosszú lejáratú hitelek és kölcsönök</t>
  </si>
  <si>
    <t>Tartozások kötvénykibocsátásból</t>
  </si>
  <si>
    <t>Issued bonds</t>
  </si>
  <si>
    <t>Pénzügyilízing-tartozások</t>
  </si>
  <si>
    <t>Financial leasing</t>
  </si>
  <si>
    <t>Halasztott adó kötelezettségek</t>
  </si>
  <si>
    <t>Deferred tax liabilities</t>
  </si>
  <si>
    <t>Céltartalékok</t>
  </si>
  <si>
    <t>Provisions</t>
  </si>
  <si>
    <t>Halasztott bevételek</t>
  </si>
  <si>
    <t>Deferred income</t>
  </si>
  <si>
    <t>Egyéb hosszú lejáratú kötelezettségek</t>
  </si>
  <si>
    <t>Other long term liabilities</t>
  </si>
  <si>
    <t>Rövid lejáratú kötelezettségek</t>
  </si>
  <si>
    <t>Short term liabilities</t>
  </si>
  <si>
    <t>Rövid lejáratú hitelek, kölcsönök</t>
  </si>
  <si>
    <t>Rövid lejáratú kötvénytartozások</t>
  </si>
  <si>
    <t>Szállítótartozások</t>
  </si>
  <si>
    <t>Payables</t>
  </si>
  <si>
    <t>Egyéb pénzügyi kötelezettségek</t>
  </si>
  <si>
    <t>Other financial liabilities</t>
  </si>
  <si>
    <t>Egyéb rövid lejáratú kötelezettségek és időbeli elhatárolások</t>
  </si>
  <si>
    <t>Other short term liabilities and deferrals</t>
  </si>
  <si>
    <t>Nyereségadó kötelezettségek</t>
  </si>
  <si>
    <t>Corporate income tax liabilities</t>
  </si>
  <si>
    <t>Vevői előlegek</t>
  </si>
  <si>
    <t>Advances from cutomers</t>
  </si>
  <si>
    <t>SAJÁT TŐKE és KÖTELEZETTSÉGEK ÖSSZESEN</t>
  </si>
  <si>
    <t>Total equity and liabilities</t>
  </si>
  <si>
    <t>M Ft-ban</t>
  </si>
  <si>
    <t xml:space="preserve"> M Ft-ban</t>
  </si>
  <si>
    <t>ezer EUR-ban</t>
  </si>
  <si>
    <t>Income Statement</t>
  </si>
  <si>
    <t>Árbevételek</t>
  </si>
  <si>
    <t>Net sales</t>
  </si>
  <si>
    <t>Közvetlen ráfordítások</t>
  </si>
  <si>
    <t>Direct costs</t>
  </si>
  <si>
    <t>Bruttó eredmény</t>
  </si>
  <si>
    <t>Gross profit</t>
  </si>
  <si>
    <t>Adminisztratív ráfordítások</t>
  </si>
  <si>
    <t>Administrative expenses</t>
  </si>
  <si>
    <t>Értékesítési ráfordítások</t>
  </si>
  <si>
    <t>Marketing expenses</t>
  </si>
  <si>
    <t>Egyéb bevételek/(ráfordítások)</t>
  </si>
  <si>
    <t>Other income &amp; expenses</t>
  </si>
  <si>
    <t>Üzemi eredmény</t>
  </si>
  <si>
    <t>Operating profit</t>
  </si>
  <si>
    <t>Pénzügyi bevételek</t>
  </si>
  <si>
    <t>Financial income</t>
  </si>
  <si>
    <t>Pénzügyi ráfordítások</t>
  </si>
  <si>
    <t>Financial expenses</t>
  </si>
  <si>
    <t>Pénzügyi ráfordítások, nettó</t>
  </si>
  <si>
    <t>Net financial costs</t>
  </si>
  <si>
    <t>Bevétel negatív goodwill elszámolásából</t>
  </si>
  <si>
    <t>Negative goodwill</t>
  </si>
  <si>
    <t>Adózás előtti eredmény</t>
  </si>
  <si>
    <t>Income before taxes</t>
  </si>
  <si>
    <t>Jövedelemadó ráfordítás</t>
  </si>
  <si>
    <t>Corporate income tax</t>
  </si>
  <si>
    <t>Nettó eredmény (folytatandó tevékenységekből)</t>
  </si>
  <si>
    <t>Net profit</t>
  </si>
  <si>
    <t>Ebből az anyavállalat tulajdonosait illeti:</t>
  </si>
  <si>
    <t>o/w profit attributable to equity holders</t>
  </si>
  <si>
    <t>Ebből a kisebbségi részesedést illeti:</t>
  </si>
  <si>
    <t>o/w minorty interests</t>
  </si>
  <si>
    <t>Egyéb átfogó eredmény (nyereségadó hatása után)</t>
  </si>
  <si>
    <t>Other comprehensive income</t>
  </si>
  <si>
    <t>Ebből nem kontrolláló érdekeltséget illeti:</t>
  </si>
  <si>
    <t>Átfogó eredmény (folytatandó tevékenységekből)</t>
  </si>
  <si>
    <t>Comprehensive income</t>
  </si>
  <si>
    <t>Ebből a nem kontrolláló érdekeltséget érinti:</t>
  </si>
  <si>
    <t>Egy részvényre jutó eredmény (Ft/részvény) alapértéke</t>
  </si>
  <si>
    <t>EPS</t>
  </si>
  <si>
    <t>Egy részvényre jutó eredmény (Ft/részvény) higított értéke</t>
  </si>
  <si>
    <t>EPS diluted</t>
  </si>
  <si>
    <t>EBITDA</t>
  </si>
  <si>
    <t>2018 H1</t>
  </si>
  <si>
    <t>Net Sales</t>
  </si>
  <si>
    <t>Material Costs</t>
  </si>
  <si>
    <t>Személyi jellegű ráfordítások</t>
  </si>
  <si>
    <t>Personal related costs</t>
  </si>
  <si>
    <t>Értékcsökkenés</t>
  </si>
  <si>
    <t>Depreciation</t>
  </si>
  <si>
    <t>Other income/(costs)</t>
  </si>
  <si>
    <t>Értékvesztés miatti veszteségek</t>
  </si>
  <si>
    <t>Amortization costs</t>
  </si>
  <si>
    <t>Működési Eredmény</t>
  </si>
  <si>
    <t>Operating Profit</t>
  </si>
  <si>
    <t>Pénzügyi bevételek/(ráfordítások)</t>
  </si>
  <si>
    <t>Net Financial profit/(loss)</t>
  </si>
  <si>
    <t>Earnings Before Tax</t>
  </si>
  <si>
    <t>Corporate tax expense</t>
  </si>
  <si>
    <t>Net Profit</t>
  </si>
  <si>
    <t>o/w to equity holders</t>
  </si>
  <si>
    <t>Ebből a nem kontrolláló érdekeltséget illeti:</t>
  </si>
  <si>
    <t>o/w to minority interests</t>
  </si>
  <si>
    <t>Egyéb átfogó eredmény</t>
  </si>
  <si>
    <t>Other Comprehensive Income</t>
  </si>
  <si>
    <t>Comprehensive Income</t>
  </si>
  <si>
    <t>EPS (átfogó nélkül)</t>
  </si>
  <si>
    <t>Higított EPS (átfogó nélkül)</t>
  </si>
  <si>
    <t>Millió Forint</t>
  </si>
  <si>
    <t>HUF Millions</t>
  </si>
  <si>
    <t>Éves átlagos EUR/HUF árfolyam</t>
  </si>
  <si>
    <t>2017 H1</t>
  </si>
  <si>
    <t>Anyagjellegű ráfordítások</t>
  </si>
  <si>
    <t>nem auditált</t>
  </si>
  <si>
    <t>Tartósan adott kölcsön és letétek</t>
  </si>
  <si>
    <t>Tartós részesedés társult vállalkozásban</t>
  </si>
  <si>
    <t>Forgóeszközök és értékesítési céllal tartott eszközök</t>
  </si>
  <si>
    <t>Anyavállalat tulajdonosaira jutó saját tőke</t>
  </si>
  <si>
    <t>Tulajdonosi tranzakciók</t>
  </si>
  <si>
    <t>Átváltási különbözetek</t>
  </si>
  <si>
    <t>Pénzügyi lízing tartozások</t>
  </si>
  <si>
    <t>Rövid lejáratú hitelek és kölcsönök</t>
  </si>
  <si>
    <t>Debentures</t>
  </si>
  <si>
    <t>Not audited</t>
  </si>
  <si>
    <t>félév végi</t>
  </si>
  <si>
    <t>Cash-flow</t>
  </si>
  <si>
    <t>Cash Flow Statement</t>
  </si>
  <si>
    <t>Kamatbevételek és kamatráfordítások (nettó)</t>
  </si>
  <si>
    <t>Interest income / expense</t>
  </si>
  <si>
    <t>Értékcsökkenési leírás</t>
  </si>
  <si>
    <t>Depreciation &amp; Amortisation</t>
  </si>
  <si>
    <t>Értékvesztések (kivéve nettó forgótőkéhez tartozó)</t>
  </si>
  <si>
    <t>Impairment</t>
  </si>
  <si>
    <t>Céltartalékok képzése és feloldása</t>
  </si>
  <si>
    <t>Leszerelési költségre képzett céltartalék változása (IAS 16)</t>
  </si>
  <si>
    <t>Provisions for decommission</t>
  </si>
  <si>
    <t>Halasztott bevételek változása</t>
  </si>
  <si>
    <t>Changes in deferred incomes</t>
  </si>
  <si>
    <t>Nem realizált árfolyamkülönbözet (kivéve nettó forgótőke)</t>
  </si>
  <si>
    <t>Non-realised FX gain / loss</t>
  </si>
  <si>
    <t>Negatív goodwill</t>
  </si>
  <si>
    <t>Részvény alapú kifizetés költsége</t>
  </si>
  <si>
    <t>Nettó forgótőke változása:</t>
  </si>
  <si>
    <t>Changes in net working capital</t>
  </si>
  <si>
    <t>Készletek változása</t>
  </si>
  <si>
    <t>Changes in inventories</t>
  </si>
  <si>
    <t>Vevők, egyéb pénzügyi eszközök, egyéb követelések és aktív időbeli elh.vált.</t>
  </si>
  <si>
    <t>Changes in receivables, other current assets and accruals</t>
  </si>
  <si>
    <t>Egyéb pénzügyi eszközök változása</t>
  </si>
  <si>
    <t>Changes in other financial assets</t>
  </si>
  <si>
    <t>Szállítói tartozások, egyéb kötelezettségek és passzív időbeli elh.változása</t>
  </si>
  <si>
    <t>Changes in payables, other liabilities and deferrals</t>
  </si>
  <si>
    <t>Egyéb pénzügyi kötelezettségek változása</t>
  </si>
  <si>
    <t>Changes in other financial liabilities</t>
  </si>
  <si>
    <t>Vevőktől kapott előlegek állományváltozása</t>
  </si>
  <si>
    <t>Changes in advances received from cutomers</t>
  </si>
  <si>
    <t>Nettó forgótőke változása</t>
  </si>
  <si>
    <t>Tárgyi eszközök értékesítésén elért eredmény</t>
  </si>
  <si>
    <t>Profit realised on sale of tangible assets</t>
  </si>
  <si>
    <t>Kifizetett kamatok</t>
  </si>
  <si>
    <t>Interest expenses</t>
  </si>
  <si>
    <t>Adózás előtti működési cash-flow</t>
  </si>
  <si>
    <t>Cash generated from operations before tax payment</t>
  </si>
  <si>
    <t>Kifizetett nyereségadó</t>
  </si>
  <si>
    <t>Corporate income tax paid</t>
  </si>
  <si>
    <t>Pénzkeletkezés / pénzfelhasználás működési tevékenységből</t>
  </si>
  <si>
    <t>Operating Cash Flow</t>
  </si>
  <si>
    <t>Betétek és befektetések kamatai</t>
  </si>
  <si>
    <t>Interests on deposits and investments</t>
  </si>
  <si>
    <t>Tárgyi és immateriális eszközök vásárlása</t>
  </si>
  <si>
    <t>Purchase of tangible and intangible assets</t>
  </si>
  <si>
    <t>Vállalkozások megszerzésére fordított összeg (nettó)</t>
  </si>
  <si>
    <t>Acquisitions (net amount)</t>
  </si>
  <si>
    <t>Tárgyi eszközök értékesítésének pénzbevétele</t>
  </si>
  <si>
    <t>Income on sale of tangible assets</t>
  </si>
  <si>
    <t>Tartósan adott kölcsön kisebbségi érdekeltségeknek - folyósítás</t>
  </si>
  <si>
    <t>Long term loans for minority interests - granting</t>
  </si>
  <si>
    <t>Tartósan adott kölcsön kisebbségi érdekeltségeknek - visszafizetés</t>
  </si>
  <si>
    <t>Long term loans for minority interests - repayment</t>
  </si>
  <si>
    <t>Pénzkeletkezés / pénzfelhasználás befektetési tevékenységből</t>
  </si>
  <si>
    <t>Investing Cash Flow</t>
  </si>
  <si>
    <t>Hosszú lejáratú hitelek és kölcsönök felvétele</t>
  </si>
  <si>
    <t>Hosszú lejáratú hitelek és kölcsönök visszafizetése</t>
  </si>
  <si>
    <t>Repayment of long term loans</t>
  </si>
  <si>
    <t>Kötvénykibocsátás bevétele</t>
  </si>
  <si>
    <t>Issuance of bonds</t>
  </si>
  <si>
    <t>Kötvények visszafizetése</t>
  </si>
  <si>
    <t>Repurchase of bonds</t>
  </si>
  <si>
    <t>Egyéb tulajdonosi tranzakciók</t>
  </si>
  <si>
    <t>Other shareholder's transactions</t>
  </si>
  <si>
    <t>Osztalékfizetés</t>
  </si>
  <si>
    <t>Kiosztás a nem kontrolláló érdekeltségeknek</t>
  </si>
  <si>
    <t>Allocation for minority interests</t>
  </si>
  <si>
    <t>Finanszírozás rövid távú kölcsönökkel, hitelekkel</t>
  </si>
  <si>
    <t>Changes in short term loans</t>
  </si>
  <si>
    <t>Pénzkeletkezés / pénzfelhasználás finanszírozási tevékenységből</t>
  </si>
  <si>
    <t>Financing Cash Flow</t>
  </si>
  <si>
    <t>Pénzeszközök állományváltozása</t>
  </si>
  <si>
    <t>Net Cash Flow</t>
  </si>
  <si>
    <t>Nyitó pénzeszközök és egyenértékesei</t>
  </si>
  <si>
    <t>Cash and cash equivalents at 1st January</t>
  </si>
  <si>
    <t>Átvátási különbozet pénzen</t>
  </si>
  <si>
    <t>Záró pénzeszközök és egyenértékesei</t>
  </si>
  <si>
    <t>Cash and cash equivalents at 31st December</t>
  </si>
  <si>
    <t>Változás</t>
  </si>
  <si>
    <t>management account</t>
  </si>
  <si>
    <t>Hő- és villamosenergia-termelés (KÁT rendszeren kívül)</t>
  </si>
  <si>
    <t>Villamosenergia-termelés
(KÁT rendszerben)</t>
  </si>
  <si>
    <t>Energetikai vállalkozás és szolgáltatások</t>
  </si>
  <si>
    <t>Energia kiskereskedelem</t>
  </si>
  <si>
    <t>Egyéb</t>
  </si>
  <si>
    <t>Szegmensek közötti kiszűrések</t>
  </si>
  <si>
    <t>Árbevétel</t>
  </si>
  <si>
    <t>Működési költségek</t>
  </si>
  <si>
    <t>  adatok  M Ft-ban </t>
  </si>
  <si>
    <t>Eredméynkimutatás</t>
  </si>
  <si>
    <t>EREDMÉNYKIMUTATÁS régi struktúra</t>
  </si>
  <si>
    <t>Energy production (market base)</t>
  </si>
  <si>
    <t>Energy production (feed-in tariff)</t>
  </si>
  <si>
    <t>Energy services</t>
  </si>
  <si>
    <t>Energy supply &amp;trading</t>
  </si>
  <si>
    <t>Other</t>
  </si>
  <si>
    <t>Ebből: Helyi iparűzési adó ráfordítás</t>
  </si>
  <si>
    <t>o/w local tax</t>
  </si>
  <si>
    <t>Profit and Loss Statement</t>
  </si>
  <si>
    <t>2019 H1</t>
  </si>
  <si>
    <t>Letétek, pénzügyi biztosítékok</t>
  </si>
  <si>
    <t>Használati jogok (Lízing eszközök)</t>
  </si>
  <si>
    <t>%
2018/2017</t>
  </si>
  <si>
    <t>Power plant and related equipments</t>
  </si>
  <si>
    <t>2017 H2</t>
  </si>
  <si>
    <t>2018 H2</t>
  </si>
  <si>
    <t>2019 H2</t>
  </si>
  <si>
    <t>EUR '000</t>
  </si>
  <si>
    <t>2017 Q1</t>
  </si>
  <si>
    <t>2018 Q2</t>
  </si>
  <si>
    <t>2017Q2</t>
  </si>
  <si>
    <t>2017 Q3</t>
  </si>
  <si>
    <t>2017Q4</t>
  </si>
  <si>
    <t>2018Q1</t>
  </si>
  <si>
    <t>2018 Q3</t>
  </si>
  <si>
    <t>2019 Q3</t>
  </si>
  <si>
    <t>2019 Q2</t>
  </si>
  <si>
    <t>2018 Q4</t>
  </si>
  <si>
    <t>2019 Q1</t>
  </si>
  <si>
    <t>Tőketartalék</t>
  </si>
  <si>
    <t>Leasing receivables (&lt; one year)</t>
  </si>
  <si>
    <t>Shares in related companies (long term)</t>
  </si>
  <si>
    <t>Conversion margin</t>
  </si>
  <si>
    <t>Cost of share-base</t>
  </si>
  <si>
    <t>Deposits, financial collaterals</t>
  </si>
  <si>
    <t>Utilization rights for leased assets</t>
  </si>
  <si>
    <t>P&amp;L</t>
  </si>
  <si>
    <t>Eredménykimutatás</t>
  </si>
  <si>
    <t>Lízingbe adott eszköz (rövid)</t>
  </si>
  <si>
    <t>Short term loans</t>
  </si>
  <si>
    <t>RV szám</t>
  </si>
  <si>
    <t>Higított RV szám</t>
  </si>
  <si>
    <t>negyedéves átlag árfolyam</t>
  </si>
  <si>
    <t>not audited</t>
  </si>
  <si>
    <t>2020 Q1</t>
  </si>
  <si>
    <t>2019 Q4</t>
  </si>
  <si>
    <t>2020 Q2</t>
  </si>
  <si>
    <t>HUF/EUR</t>
  </si>
  <si>
    <t>Villamosenergia-termelés</t>
  </si>
  <si>
    <t>Energy Production (feed-in-tariff)</t>
  </si>
  <si>
    <t>Revenues</t>
  </si>
  <si>
    <t>Operating cost</t>
  </si>
  <si>
    <t>millió Ft</t>
  </si>
  <si>
    <t>HUF million</t>
  </si>
  <si>
    <t>Hő- és villamos energia termelés (piaci)</t>
  </si>
  <si>
    <t>Energy Production (market base)</t>
  </si>
  <si>
    <t>Energy supply &amp; trading</t>
  </si>
  <si>
    <t>Szegmensek összesen kiszűrések nélkül</t>
  </si>
  <si>
    <t>Szegmensek összesen kiszűrésekkel</t>
  </si>
  <si>
    <t>Segments total with adjustments</t>
  </si>
  <si>
    <t>Segments total w/o adjustments</t>
  </si>
  <si>
    <t>ebből hitelek, kölcsönök, kötvények, lízing</t>
  </si>
  <si>
    <t>of which loans, bonds, leasing</t>
  </si>
  <si>
    <t>2019Q4</t>
  </si>
  <si>
    <t>%
2019/2018</t>
  </si>
  <si>
    <t>Rövid lejáratú pénzügyi lízing tartozások</t>
  </si>
  <si>
    <t>Leasing liabilities</t>
  </si>
  <si>
    <t>Tárgyi eszközök értékesítésén és kvóta visszaadásokon elért (nyereség), veszteség</t>
  </si>
  <si>
    <t>Halasztott adó változása</t>
  </si>
  <si>
    <t>Natural gas consumtion - GJ - power plants</t>
  </si>
  <si>
    <t>Felhasznált gáz - GJ-ban - Erőművek</t>
  </si>
  <si>
    <t>Sold energy - Energy supply and trading - MWh</t>
  </si>
  <si>
    <t>Értékesített energia - Energia kiskereskedelem - MWh</t>
  </si>
  <si>
    <t>Győr</t>
  </si>
  <si>
    <t>Electricity</t>
  </si>
  <si>
    <t>Villamos energia</t>
  </si>
  <si>
    <t>Sopron</t>
  </si>
  <si>
    <t>Natural gas</t>
  </si>
  <si>
    <t>Földgáz</t>
  </si>
  <si>
    <t>Kazincbarcika</t>
  </si>
  <si>
    <t>Total</t>
  </si>
  <si>
    <t>Összesen</t>
  </si>
  <si>
    <t>Ózd</t>
  </si>
  <si>
    <t>Tiszaújváros</t>
  </si>
  <si>
    <t>Zugló</t>
  </si>
  <si>
    <t>Agria Park</t>
  </si>
  <si>
    <t>Produced electricity - Market-based sales - MWh</t>
  </si>
  <si>
    <t>Termelt villamos energia - Erőművek - MWh</t>
  </si>
  <si>
    <t>Sold electricity - Virtual Power Plant - MWh</t>
  </si>
  <si>
    <t>Értékesített villamos energia - Nagykereskedelem - MWh</t>
  </si>
  <si>
    <t>Jánossomorja</t>
  </si>
  <si>
    <t>Ács</t>
  </si>
  <si>
    <t>Pápakovácsi</t>
  </si>
  <si>
    <t>Produced heat energy - power plants - GJ</t>
  </si>
  <si>
    <t>Termelt hőenergia - Erőművek - GJ</t>
  </si>
  <si>
    <t>Produced electricity - Feed-in tariff system - MWh</t>
  </si>
  <si>
    <t>Törökszentmiklós</t>
  </si>
  <si>
    <t>Debrecen 1</t>
  </si>
  <si>
    <t>Debrecen 2</t>
  </si>
  <si>
    <t>Kisújszállás</t>
  </si>
  <si>
    <t>Nyíregyháza</t>
  </si>
  <si>
    <t>Nagykőrös - Biogas</t>
  </si>
  <si>
    <t>Nagykőrös - Biogáz</t>
  </si>
  <si>
    <t>Felsődobsza</t>
  </si>
  <si>
    <t>Gibárt</t>
  </si>
  <si>
    <t>Domaszék</t>
  </si>
  <si>
    <t>Monor</t>
  </si>
  <si>
    <t>Renewable capacities - MW</t>
  </si>
  <si>
    <t>Megújuló kapacitások - MW</t>
  </si>
  <si>
    <t>Wind</t>
  </si>
  <si>
    <t>Szél</t>
  </si>
  <si>
    <t>Hydro</t>
  </si>
  <si>
    <t>Víz</t>
  </si>
  <si>
    <t>Solar</t>
  </si>
  <si>
    <t>Nap</t>
  </si>
  <si>
    <t>Biogas</t>
  </si>
  <si>
    <t>Biogáz</t>
  </si>
  <si>
    <t>Control Centre capacities - MW</t>
  </si>
  <si>
    <t>Szabályozó központ (saját tulajdonú) kapacitások- MW</t>
  </si>
  <si>
    <t>Gas engines</t>
  </si>
  <si>
    <t>Gázmotorok</t>
  </si>
  <si>
    <t>Batteries</t>
  </si>
  <si>
    <t>Akkumulátorok</t>
  </si>
  <si>
    <t>Renewables</t>
  </si>
  <si>
    <t>Megújuló</t>
  </si>
  <si>
    <t>Egyéb bevétel és Egyéb ráfordítás</t>
  </si>
  <si>
    <t>Villamosenergia-termelés
(Támogatott rendszerben)</t>
  </si>
  <si>
    <t>Hő- és villamosenergia-termelés (Támogatott rendszeren kívül)</t>
  </si>
  <si>
    <t>Balatonberény</t>
  </si>
  <si>
    <t>Nagykőrös - nap</t>
  </si>
  <si>
    <t>Nagykőrös - solar</t>
  </si>
  <si>
    <t>2020 H1</t>
  </si>
  <si>
    <t>2020 H2</t>
  </si>
  <si>
    <t>MÁSODIK FÉLÉVES TELJESÍTMÉNY</t>
  </si>
  <si>
    <t>2020 Q3</t>
  </si>
  <si>
    <t>Ebből: helyi iparűzési adó ráfordítás</t>
  </si>
  <si>
    <t>ouf of which is local tax</t>
  </si>
  <si>
    <t>Short term leasing liabilities</t>
  </si>
  <si>
    <t>ebből ALTEO csoporton belüli villamos energia értékesítés</t>
  </si>
  <si>
    <t>Bőny</t>
  </si>
  <si>
    <t>Bábolna</t>
  </si>
  <si>
    <t>Transactions with the shareholders</t>
  </si>
  <si>
    <t>Capitalized value of own production</t>
  </si>
  <si>
    <t>Deferred tax changes</t>
  </si>
  <si>
    <t>Paid interests</t>
  </si>
  <si>
    <t>Paid corporate tax</t>
  </si>
  <si>
    <t xml:space="preserve">Termelő és egyéb berendezések selejtezése </t>
  </si>
  <si>
    <t>Egyéb átfogó eredmény árfolyam  hatása</t>
  </si>
  <si>
    <t>Effect of comrehensive income</t>
  </si>
  <si>
    <t>Lízing eszköz változása</t>
  </si>
  <si>
    <t>Changes in leasing assets</t>
  </si>
  <si>
    <t>Tőkeemelés, saját részvény vásárlás</t>
  </si>
  <si>
    <t>Capital increase, treasury shares purchases</t>
  </si>
  <si>
    <t>Dividend paid</t>
  </si>
  <si>
    <t>Energiatermelés (támogatott rendszeren kívül)</t>
  </si>
  <si>
    <t>Villamosenergia-termelés (Támogatott rendszerben)</t>
  </si>
  <si>
    <t>Energetikai szolgáltatások</t>
  </si>
  <si>
    <t>Energia-kereskedelem</t>
  </si>
  <si>
    <t>Konszolidációs kiszűrések</t>
  </si>
  <si>
    <t xml:space="preserve">Egyéb bevétel és Egyéb ráfordítás </t>
  </si>
  <si>
    <t>Aktivált saját teljesítmények értéke</t>
  </si>
  <si>
    <t>EBITDA*</t>
  </si>
  <si>
    <t>Aktivált saját teljesítmények</t>
  </si>
  <si>
    <t>2020 Q4</t>
  </si>
  <si>
    <t>auditált</t>
  </si>
  <si>
    <t>audited</t>
  </si>
  <si>
    <t>2020. év</t>
  </si>
  <si>
    <t>2019. év</t>
  </si>
  <si>
    <t>2021 Q1</t>
  </si>
  <si>
    <t>Ráosztott igazgatási költség</t>
  </si>
  <si>
    <t>EBITDA II</t>
  </si>
  <si>
    <t>Energetikai vállalkozás és szolgáltatások - millió Ft</t>
  </si>
  <si>
    <t>Energia kiskereskedelem - millió Ft</t>
  </si>
  <si>
    <t>Egyéb - millió Ft</t>
  </si>
  <si>
    <t>Material-type expenditures</t>
  </si>
  <si>
    <t>Other revenues and expenditures</t>
  </si>
  <si>
    <t>Personnel Expenditures</t>
  </si>
  <si>
    <t>Allocated overhead costs</t>
  </si>
  <si>
    <t>Sales revenue</t>
  </si>
  <si>
    <t>Energy services - HUF million</t>
  </si>
  <si>
    <t>Retail energy trade - HUF million</t>
  </si>
  <si>
    <t>Other segment - HUF million</t>
  </si>
  <si>
    <t>2021 H1</t>
  </si>
  <si>
    <t>20201.06.30</t>
  </si>
  <si>
    <t>2021 Q2</t>
  </si>
  <si>
    <t>2021 Q3</t>
  </si>
  <si>
    <t>2021 Q4</t>
  </si>
  <si>
    <t>2021 H2</t>
  </si>
  <si>
    <t>EUR thousands</t>
  </si>
  <si>
    <t>Kibocsátási jogok állományváltozása</t>
  </si>
  <si>
    <t>Changes in CO2 allowances</t>
  </si>
  <si>
    <t>2022Q1</t>
  </si>
  <si>
    <t>ebből OCI</t>
  </si>
  <si>
    <t>of which OCI</t>
  </si>
  <si>
    <t>2022 Q1</t>
  </si>
  <si>
    <t>2022 H1</t>
  </si>
  <si>
    <t>2022 Q1-Q3</t>
  </si>
  <si>
    <t>2022 Q3</t>
  </si>
  <si>
    <t>OCI</t>
  </si>
  <si>
    <t xml:space="preserve">of which OCI </t>
  </si>
  <si>
    <t>2021 Q1-Q4</t>
  </si>
  <si>
    <t>2021 Q1-Q3</t>
  </si>
  <si>
    <t>Villamosenergia-termelés (megújuló) - millió Ft</t>
  </si>
  <si>
    <t>Electricity production (renewable) - HUF million</t>
  </si>
  <si>
    <t>Hő- és villamos energia termelés (nem megújuló)- millió Ft</t>
  </si>
  <si>
    <t>Heat and electricity production (non-renewable) - HUF million</t>
  </si>
  <si>
    <t>OCI-hoz kapcsolódó eszközök</t>
  </si>
  <si>
    <t>OCI related assets</t>
  </si>
  <si>
    <t>2022 Q1-Q4</t>
  </si>
  <si>
    <t>2022 Q4</t>
  </si>
  <si>
    <t>2022 H2</t>
  </si>
  <si>
    <t>2023Q1</t>
  </si>
  <si>
    <t>Hulladék gazdálkodás - millió Ft</t>
  </si>
  <si>
    <t>Waste management - HUF million</t>
  </si>
  <si>
    <t>2023 H1</t>
  </si>
  <si>
    <t>2023 Q1-Q3</t>
  </si>
  <si>
    <t xml:space="preserve">ebből Egyéb átfogó eredmény hatása </t>
  </si>
  <si>
    <t>ebből pénzeszközök</t>
  </si>
  <si>
    <t>ebből Vevőkövetelések és időbeli elhatárolások</t>
  </si>
  <si>
    <t>ebből Egyéb forgóeszközök</t>
  </si>
  <si>
    <t>of which trade receivables and accruals</t>
  </si>
  <si>
    <t>of which other current assets</t>
  </si>
  <si>
    <t>of which cash &amp; cash equivalents</t>
  </si>
  <si>
    <t>ebből Egyéb hosszú lejáratú kötelezettség</t>
  </si>
  <si>
    <t>of which other long-term liability</t>
  </si>
  <si>
    <t>ebből Szállítótartozások és időbeli elhatárolások</t>
  </si>
  <si>
    <t>ebből Egyéb rövid lejáratú kötelezettség</t>
  </si>
  <si>
    <t>of which trade payables and accruals</t>
  </si>
  <si>
    <t>of which other short-term liability</t>
  </si>
  <si>
    <t>2023 Q1</t>
  </si>
  <si>
    <t>2023 Q3</t>
  </si>
  <si>
    <t>Advances from customers</t>
  </si>
  <si>
    <t>Electric boilers</t>
  </si>
  <si>
    <t>Debrecen (a kettő együtt)</t>
  </si>
  <si>
    <t>EUR/HUF conversion rate @ end-of-period</t>
  </si>
  <si>
    <t>2023 H2</t>
  </si>
  <si>
    <t>2024Q1</t>
  </si>
  <si>
    <t>2024 Q1</t>
  </si>
  <si>
    <t>2023H1</t>
  </si>
  <si>
    <t>2023 Q1-Q4</t>
  </si>
  <si>
    <t>ebből Készletek és kibocsátási jogok</t>
  </si>
  <si>
    <t>of which inventories and emission rights</t>
  </si>
  <si>
    <t>2024 H1</t>
  </si>
  <si>
    <t>2024 H2</t>
  </si>
  <si>
    <t>2024H1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</si>
</sst>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#,##0.0_);\(#,##0.0\);\-\-_);@_)"/>
    <numFmt numFmtId="166" formatCode="#,##0_);\(#,##0\);\-\-_);@_)"/>
    <numFmt numFmtId="167" formatCode="#,##0_);\(#,##0\);&quot;-  &quot;;&quot; &quot;@"/>
    <numFmt numFmtId="168" formatCode="_-* #,##0_F_t_-;* \(#,##0\)_F_t_-;_-* &quot;-&quot;\ _F_t_-;_-@_-\ "/>
    <numFmt numFmtId="169" formatCode="#,##0.00_);\(#,##0.00\);&quot;-  &quot;;&quot; &quot;@"/>
    <numFmt numFmtId="170" formatCode="_-* #,##0\ _F_t_-;\-* #,##0\ _F_t_-;_-* &quot;-&quot;??\ _F_t_-;_-@_-"/>
    <numFmt numFmtId="171" formatCode="0.0%"/>
    <numFmt numFmtId="172" formatCode="#,##0.0"/>
    <numFmt numFmtId="173" formatCode="_(* #,##0_);_(* \(#,##0\);_(* &quot;-&quot;??_);_(@_)"/>
    <numFmt numFmtId="174" formatCode="_-* #,##0.00\ [$€-1]_-;\-* #,##0.00\ [$€-1]_-;_-* &quot;-&quot;??\ [$€-1]_-"/>
    <numFmt numFmtId="175" formatCode="yyyy/mm/dd;@"/>
    <numFmt numFmtId="176" formatCode="_-* #,##0\ _F_t_-;\-* #,##0\ _F_t_-;_-* &quot;-&quot;\ _F_t_-;_-@_-"/>
    <numFmt numFmtId="177" formatCode="0.0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9"/>
      <color theme="0"/>
      <name val="Arial"/>
      <family val="2"/>
    </font>
    <font>
      <b/>
      <sz val="9"/>
      <color theme="1"/>
      <name val="Calibri"/>
      <family val="2"/>
      <charset val="238"/>
      <scheme val="minor"/>
    </font>
    <font>
      <sz val="8"/>
      <color rgb="FF0000FF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  <font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MS Sans Serif"/>
    </font>
    <font>
      <sz val="10"/>
      <color indexed="12"/>
      <name val="Arial CE"/>
      <family val="2"/>
      <charset val="238"/>
    </font>
    <font>
      <sz val="10"/>
      <color indexed="36"/>
      <name val="Arial CE"/>
      <family val="2"/>
      <charset val="238"/>
    </font>
    <font>
      <sz val="10"/>
      <name val="MS Sans Serif"/>
      <family val="2"/>
    </font>
    <font>
      <u/>
      <sz val="10"/>
      <color theme="10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EB6"/>
        <bgColor indexed="64"/>
      </patternFill>
    </fill>
    <fill>
      <patternFill patternType="solid">
        <fgColor rgb="FFE6E6E6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2AC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7CE"/>
      </patternFill>
    </fill>
    <fill>
      <patternFill patternType="solid">
        <fgColor theme="7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theme="8" tint="-0.249977111117893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70C0"/>
      </bottom>
      <diagonal/>
    </border>
    <border>
      <left/>
      <right style="medium">
        <color indexed="64"/>
      </right>
      <top style="medium">
        <color indexed="64"/>
      </top>
      <bottom style="thin">
        <color rgb="FF0070C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70C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70C0"/>
      </bottom>
      <diagonal/>
    </border>
    <border>
      <left/>
      <right/>
      <top style="medium">
        <color indexed="64"/>
      </top>
      <bottom style="double">
        <color theme="5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1">
    <xf numFmtId="0" fontId="0" fillId="0" borderId="0"/>
    <xf numFmtId="164" fontId="1" fillId="0" borderId="0" applyFont="0" applyFill="0" applyBorder="0" applyAlignment="0" applyProtection="0"/>
    <xf numFmtId="165" fontId="6" fillId="4" borderId="3">
      <alignment horizontal="right" vertical="center"/>
    </xf>
    <xf numFmtId="0" fontId="12" fillId="0" borderId="0"/>
    <xf numFmtId="167" fontId="1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30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167" fontId="1" fillId="0" borderId="0" applyFont="0" applyFill="0" applyBorder="0" applyProtection="0">
      <alignment vertical="top"/>
    </xf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2" fillId="0" borderId="0"/>
    <xf numFmtId="0" fontId="1" fillId="0" borderId="0"/>
    <xf numFmtId="167" fontId="1" fillId="0" borderId="0" applyFont="0" applyFill="0" applyBorder="0" applyProtection="0">
      <alignment vertical="top"/>
    </xf>
    <xf numFmtId="0" fontId="1" fillId="0" borderId="0"/>
    <xf numFmtId="0" fontId="39" fillId="0" borderId="0"/>
    <xf numFmtId="43" fontId="1" fillId="0" borderId="0" applyFont="0" applyFill="0" applyBorder="0" applyAlignment="0" applyProtection="0"/>
    <xf numFmtId="0" fontId="39" fillId="0" borderId="0"/>
    <xf numFmtId="0" fontId="1" fillId="0" borderId="0"/>
    <xf numFmtId="0" fontId="12" fillId="0" borderId="0"/>
    <xf numFmtId="0" fontId="1" fillId="0" borderId="0"/>
    <xf numFmtId="174" fontId="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46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6" fillId="0" borderId="0"/>
    <xf numFmtId="0" fontId="12" fillId="0" borderId="0"/>
    <xf numFmtId="0" fontId="46" fillId="0" borderId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0" fontId="50" fillId="0" borderId="0"/>
    <xf numFmtId="164" fontId="5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0" fontId="50" fillId="0" borderId="0"/>
    <xf numFmtId="0" fontId="50" fillId="0" borderId="0"/>
    <xf numFmtId="0" fontId="46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3" fontId="55" fillId="0" borderId="0">
      <alignment horizontal="right"/>
      <protection locked="0"/>
    </xf>
    <xf numFmtId="176" fontId="12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3" fillId="0" borderId="0">
      <protection locked="0"/>
    </xf>
    <xf numFmtId="164" fontId="1" fillId="0" borderId="0" applyFont="0" applyFill="0" applyBorder="0" applyAlignment="0" applyProtection="0"/>
    <xf numFmtId="3" fontId="56" fillId="0" borderId="0">
      <alignment horizontal="right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/>
    <xf numFmtId="43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0" fontId="1" fillId="0" borderId="0"/>
    <xf numFmtId="0" fontId="53" fillId="0" borderId="0">
      <protection locked="0"/>
    </xf>
    <xf numFmtId="164" fontId="1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3" fillId="0" borderId="0">
      <protection locked="0"/>
    </xf>
    <xf numFmtId="164" fontId="1" fillId="0" borderId="0" applyFont="0" applyFill="0" applyBorder="0" applyAlignment="0" applyProtection="0"/>
    <xf numFmtId="0" fontId="53" fillId="0" borderId="0">
      <protection locked="0"/>
    </xf>
    <xf numFmtId="164" fontId="1" fillId="0" borderId="0" applyFont="0" applyFill="0" applyBorder="0" applyAlignment="0" applyProtection="0"/>
    <xf numFmtId="0" fontId="53" fillId="0" borderId="0">
      <protection locked="0"/>
    </xf>
    <xf numFmtId="0" fontId="12" fillId="0" borderId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3" fillId="0" borderId="0">
      <protection locked="0"/>
    </xf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53" fillId="0" borderId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53" fillId="0" borderId="0">
      <protection locked="0"/>
    </xf>
    <xf numFmtId="164" fontId="1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64" fontId="39" fillId="0" borderId="0" applyFont="0" applyFill="0" applyBorder="0" applyAlignment="0" applyProtection="0"/>
    <xf numFmtId="0" fontId="53" fillId="0" borderId="0">
      <protection locked="0"/>
    </xf>
    <xf numFmtId="0" fontId="58" fillId="0" borderId="0" applyNumberFormat="0" applyFill="0" applyBorder="0" applyAlignment="0" applyProtection="0"/>
    <xf numFmtId="0" fontId="39" fillId="0" borderId="0"/>
    <xf numFmtId="0" fontId="3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3" fontId="39" fillId="0" borderId="0">
      <alignment vertical="center"/>
    </xf>
    <xf numFmtId="0" fontId="39" fillId="0" borderId="0"/>
    <xf numFmtId="0" fontId="51" fillId="0" borderId="0"/>
    <xf numFmtId="43" fontId="51" fillId="0" borderId="0" applyFont="0" applyFill="0" applyBorder="0" applyAlignment="0" applyProtection="0"/>
    <xf numFmtId="3" fontId="39" fillId="0" borderId="0">
      <alignment vertical="center"/>
    </xf>
    <xf numFmtId="0" fontId="5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17" borderId="0" applyNumberFormat="0" applyBorder="0" applyAlignment="0" applyProtection="0"/>
    <xf numFmtId="0" fontId="48" fillId="1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0" fontId="1" fillId="0" borderId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39" fillId="0" borderId="0">
      <alignment vertical="center"/>
    </xf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9" fontId="1" fillId="0" borderId="0" applyFont="0" applyFill="0" applyBorder="0" applyAlignment="0" applyProtection="0"/>
    <xf numFmtId="0" fontId="49" fillId="17" borderId="0" applyNumberFormat="0" applyBorder="0" applyAlignment="0" applyProtection="0"/>
    <xf numFmtId="0" fontId="48" fillId="16" borderId="0" applyNumberFormat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0" fillId="0" borderId="0"/>
    <xf numFmtId="0" fontId="46" fillId="0" borderId="0"/>
    <xf numFmtId="0" fontId="5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5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46" fillId="0" borderId="0"/>
    <xf numFmtId="0" fontId="59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39" fillId="0" borderId="0"/>
    <xf numFmtId="0" fontId="1" fillId="0" borderId="0"/>
    <xf numFmtId="9" fontId="36" fillId="0" borderId="0" applyFont="0" applyFill="0" applyBorder="0" applyAlignment="0" applyProtection="0"/>
    <xf numFmtId="0" fontId="1" fillId="0" borderId="0"/>
    <xf numFmtId="0" fontId="51" fillId="0" borderId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36" fillId="0" borderId="0"/>
    <xf numFmtId="0" fontId="46" fillId="0" borderId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  <xf numFmtId="0" fontId="1" fillId="0" borderId="0"/>
    <xf numFmtId="0" fontId="50" fillId="0" borderId="0"/>
    <xf numFmtId="164" fontId="1" fillId="0" borderId="0" applyFont="0" applyFill="0" applyBorder="0" applyAlignment="0" applyProtection="0"/>
    <xf numFmtId="0" fontId="50" fillId="0" borderId="0"/>
    <xf numFmtId="164" fontId="1" fillId="0" borderId="0" applyFont="0" applyFill="0" applyBorder="0" applyAlignment="0" applyProtection="0"/>
    <xf numFmtId="0" fontId="46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Protection="0">
      <alignment vertical="top"/>
    </xf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46" fillId="0" borderId="0" applyFont="0" applyFill="0" applyBorder="0" applyAlignment="0" applyProtection="0"/>
    <xf numFmtId="0" fontId="1" fillId="0" borderId="0"/>
    <xf numFmtId="0" fontId="1" fillId="0" borderId="0"/>
    <xf numFmtId="0" fontId="60" fillId="0" borderId="0"/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1" fillId="0" borderId="0"/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Protection="0">
      <alignment vertical="top"/>
    </xf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12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6" fillId="0" borderId="0" applyFont="0" applyFill="0" applyBorder="0" applyAlignment="0" applyProtection="0"/>
    <xf numFmtId="0" fontId="1" fillId="0" borderId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Protection="0">
      <alignment vertical="top"/>
    </xf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51" fillId="0" borderId="0"/>
  </cellStyleXfs>
  <cellXfs count="423">
    <xf numFmtId="0" fontId="0" fillId="0" borderId="0" xfId="0"/>
    <xf numFmtId="0" fontId="3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 indent="1"/>
    </xf>
    <xf numFmtId="0" fontId="4" fillId="3" borderId="0" xfId="0" quotePrefix="1" applyFont="1" applyFill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166" fontId="7" fillId="0" borderId="4" xfId="2" applyNumberFormat="1" applyFont="1" applyFill="1" applyBorder="1">
      <alignment horizontal="right" vertical="center"/>
    </xf>
    <xf numFmtId="0" fontId="8" fillId="0" borderId="0" xfId="0" applyFont="1"/>
    <xf numFmtId="166" fontId="9" fillId="0" borderId="3" xfId="2" applyNumberFormat="1" applyFont="1" applyFill="1">
      <alignment horizontal="right" vertical="center"/>
    </xf>
    <xf numFmtId="0" fontId="10" fillId="0" borderId="0" xfId="0" applyFont="1"/>
    <xf numFmtId="166" fontId="9" fillId="0" borderId="3" xfId="2" quotePrefix="1" applyNumberFormat="1" applyFont="1" applyFill="1">
      <alignment horizontal="right" vertical="center"/>
    </xf>
    <xf numFmtId="166" fontId="9" fillId="0" borderId="5" xfId="2" applyNumberFormat="1" applyFont="1" applyFill="1" applyBorder="1">
      <alignment horizontal="right" vertical="center"/>
    </xf>
    <xf numFmtId="166" fontId="7" fillId="0" borderId="6" xfId="2" applyNumberFormat="1" applyFont="1" applyFill="1" applyBorder="1">
      <alignment horizontal="right" vertical="center"/>
    </xf>
    <xf numFmtId="166" fontId="7" fillId="0" borderId="8" xfId="2" applyNumberFormat="1" applyFont="1" applyFill="1" applyBorder="1">
      <alignment horizontal="right" vertical="center"/>
    </xf>
    <xf numFmtId="0" fontId="5" fillId="0" borderId="0" xfId="0" applyFont="1"/>
    <xf numFmtId="166" fontId="7" fillId="0" borderId="3" xfId="2" applyNumberFormat="1" applyFont="1" applyFill="1">
      <alignment horizontal="right" vertical="center"/>
    </xf>
    <xf numFmtId="0" fontId="8" fillId="0" borderId="0" xfId="0" applyFont="1" applyAlignment="1">
      <alignment horizontal="right" indent="1"/>
    </xf>
    <xf numFmtId="166" fontId="8" fillId="0" borderId="0" xfId="0" applyNumberFormat="1" applyFont="1" applyAlignment="1">
      <alignment horizontal="right" indent="1"/>
    </xf>
    <xf numFmtId="0" fontId="11" fillId="0" borderId="0" xfId="0" applyFont="1"/>
    <xf numFmtId="0" fontId="8" fillId="0" borderId="1" xfId="0" applyFont="1" applyBorder="1"/>
    <xf numFmtId="167" fontId="13" fillId="0" borderId="1" xfId="4" applyFont="1" applyBorder="1" applyAlignment="1">
      <alignment horizontal="left" indent="1"/>
    </xf>
    <xf numFmtId="167" fontId="13" fillId="0" borderId="1" xfId="4" applyFont="1" applyBorder="1" applyAlignment="1">
      <alignment horizontal="right"/>
    </xf>
    <xf numFmtId="167" fontId="14" fillId="0" borderId="0" xfId="4" applyFont="1" applyAlignment="1">
      <alignment horizontal="left" indent="1"/>
    </xf>
    <xf numFmtId="167" fontId="14" fillId="0" borderId="0" xfId="4" applyFont="1" applyAlignment="1">
      <alignment horizontal="right"/>
    </xf>
    <xf numFmtId="167" fontId="1" fillId="0" borderId="0" xfId="4" applyAlignment="1">
      <alignment horizontal="left" indent="1"/>
    </xf>
    <xf numFmtId="167" fontId="1" fillId="0" borderId="0" xfId="4" applyAlignment="1">
      <alignment horizontal="right"/>
    </xf>
    <xf numFmtId="168" fontId="15" fillId="0" borderId="2" xfId="4" applyNumberFormat="1" applyFont="1" applyBorder="1">
      <alignment vertical="top"/>
    </xf>
    <xf numFmtId="167" fontId="2" fillId="0" borderId="2" xfId="4" applyFont="1" applyBorder="1" applyAlignment="1">
      <alignment horizontal="right" vertical="top"/>
    </xf>
    <xf numFmtId="167" fontId="2" fillId="0" borderId="2" xfId="4" applyFont="1" applyBorder="1">
      <alignment vertical="top"/>
    </xf>
    <xf numFmtId="167" fontId="0" fillId="0" borderId="0" xfId="0" applyNumberFormat="1"/>
    <xf numFmtId="167" fontId="1" fillId="0" borderId="9" xfId="4" applyBorder="1" applyAlignment="1">
      <alignment horizontal="left" indent="1"/>
    </xf>
    <xf numFmtId="167" fontId="1" fillId="0" borderId="1" xfId="4" applyBorder="1" applyAlignment="1">
      <alignment horizontal="left" indent="1"/>
    </xf>
    <xf numFmtId="167" fontId="1" fillId="0" borderId="1" xfId="4" applyBorder="1" applyAlignment="1">
      <alignment horizontal="right"/>
    </xf>
    <xf numFmtId="167" fontId="2" fillId="0" borderId="10" xfId="4" applyFont="1" applyBorder="1">
      <alignment vertical="top"/>
    </xf>
    <xf numFmtId="167" fontId="2" fillId="0" borderId="10" xfId="4" applyFont="1" applyBorder="1" applyAlignment="1">
      <alignment horizontal="right" vertical="top"/>
    </xf>
    <xf numFmtId="0" fontId="12" fillId="0" borderId="0" xfId="3" applyAlignment="1">
      <alignment vertical="top"/>
    </xf>
    <xf numFmtId="167" fontId="16" fillId="0" borderId="2" xfId="4" applyFont="1" applyBorder="1">
      <alignment vertical="top"/>
    </xf>
    <xf numFmtId="167" fontId="0" fillId="0" borderId="0" xfId="4" applyFont="1" applyAlignment="1">
      <alignment horizontal="left" indent="1"/>
    </xf>
    <xf numFmtId="3" fontId="8" fillId="0" borderId="1" xfId="0" applyNumberFormat="1" applyFont="1" applyBorder="1" applyAlignment="1">
      <alignment horizontal="right" indent="1"/>
    </xf>
    <xf numFmtId="165" fontId="7" fillId="5" borderId="3" xfId="2" applyFont="1" applyFill="1">
      <alignment horizontal="right" vertical="center"/>
    </xf>
    <xf numFmtId="165" fontId="7" fillId="5" borderId="4" xfId="2" applyFont="1" applyFill="1" applyBorder="1">
      <alignment horizontal="right" vertical="center"/>
    </xf>
    <xf numFmtId="165" fontId="8" fillId="0" borderId="0" xfId="0" applyNumberFormat="1" applyFont="1" applyAlignment="1">
      <alignment horizontal="right" indent="1"/>
    </xf>
    <xf numFmtId="3" fontId="0" fillId="0" borderId="0" xfId="0" applyNumberFormat="1"/>
    <xf numFmtId="0" fontId="23" fillId="8" borderId="0" xfId="0" applyFont="1" applyFill="1"/>
    <xf numFmtId="1" fontId="8" fillId="0" borderId="0" xfId="0" applyNumberFormat="1" applyFont="1" applyAlignment="1">
      <alignment horizontal="right" indent="1"/>
    </xf>
    <xf numFmtId="0" fontId="4" fillId="3" borderId="13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right" vertical="center" indent="1"/>
    </xf>
    <xf numFmtId="0" fontId="4" fillId="3" borderId="14" xfId="0" applyFont="1" applyFill="1" applyBorder="1" applyAlignment="1">
      <alignment horizontal="left" vertical="center"/>
    </xf>
    <xf numFmtId="0" fontId="8" fillId="0" borderId="14" xfId="0" applyFont="1" applyBorder="1"/>
    <xf numFmtId="0" fontId="11" fillId="0" borderId="14" xfId="0" applyFont="1" applyBorder="1"/>
    <xf numFmtId="0" fontId="5" fillId="0" borderId="15" xfId="0" applyFont="1" applyBorder="1"/>
    <xf numFmtId="3" fontId="8" fillId="0" borderId="0" xfId="0" applyNumberFormat="1" applyFont="1" applyAlignment="1">
      <alignment horizontal="right" indent="1"/>
    </xf>
    <xf numFmtId="0" fontId="8" fillId="0" borderId="15" xfId="0" applyFont="1" applyBorder="1"/>
    <xf numFmtId="0" fontId="8" fillId="0" borderId="2" xfId="0" applyFont="1" applyBorder="1"/>
    <xf numFmtId="166" fontId="24" fillId="0" borderId="6" xfId="2" applyNumberFormat="1" applyFont="1" applyFill="1" applyBorder="1">
      <alignment horizontal="right" vertical="center"/>
    </xf>
    <xf numFmtId="0" fontId="11" fillId="0" borderId="15" xfId="0" applyFont="1" applyBorder="1"/>
    <xf numFmtId="0" fontId="11" fillId="0" borderId="2" xfId="0" applyFont="1" applyBorder="1"/>
    <xf numFmtId="0" fontId="5" fillId="0" borderId="16" xfId="0" applyFont="1" applyBorder="1"/>
    <xf numFmtId="0" fontId="5" fillId="0" borderId="12" xfId="0" applyFont="1" applyBorder="1"/>
    <xf numFmtId="166" fontId="7" fillId="0" borderId="17" xfId="2" applyNumberFormat="1" applyFont="1" applyFill="1" applyBorder="1">
      <alignment horizontal="right" vertical="center"/>
    </xf>
    <xf numFmtId="14" fontId="21" fillId="7" borderId="11" xfId="0" applyNumberFormat="1" applyFont="1" applyFill="1" applyBorder="1" applyAlignment="1">
      <alignment horizontal="center" vertical="center" wrapText="1"/>
    </xf>
    <xf numFmtId="14" fontId="21" fillId="6" borderId="11" xfId="0" applyNumberFormat="1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wrapText="1"/>
    </xf>
    <xf numFmtId="0" fontId="20" fillId="0" borderId="9" xfId="0" applyFont="1" applyBorder="1" applyAlignment="1">
      <alignment horizontal="left" wrapText="1" indent="1"/>
    </xf>
    <xf numFmtId="3" fontId="0" fillId="9" borderId="9" xfId="0" applyNumberFormat="1" applyFill="1" applyBorder="1"/>
    <xf numFmtId="3" fontId="0" fillId="0" borderId="9" xfId="0" applyNumberFormat="1" applyBorder="1"/>
    <xf numFmtId="9" fontId="0" fillId="9" borderId="9" xfId="0" applyNumberFormat="1" applyFill="1" applyBorder="1"/>
    <xf numFmtId="0" fontId="20" fillId="0" borderId="0" xfId="0" applyFont="1" applyAlignment="1">
      <alignment horizontal="left" wrapText="1" indent="1"/>
    </xf>
    <xf numFmtId="3" fontId="0" fillId="9" borderId="0" xfId="0" applyNumberFormat="1" applyFill="1"/>
    <xf numFmtId="9" fontId="0" fillId="9" borderId="0" xfId="0" applyNumberFormat="1" applyFill="1"/>
    <xf numFmtId="0" fontId="21" fillId="6" borderId="7" xfId="0" applyFont="1" applyFill="1" applyBorder="1" applyAlignment="1">
      <alignment vertical="center"/>
    </xf>
    <xf numFmtId="3" fontId="21" fillId="9" borderId="7" xfId="0" applyNumberFormat="1" applyFont="1" applyFill="1" applyBorder="1" applyAlignment="1">
      <alignment horizontal="right" vertical="center" wrapText="1"/>
    </xf>
    <xf numFmtId="3" fontId="21" fillId="6" borderId="7" xfId="0" applyNumberFormat="1" applyFont="1" applyFill="1" applyBorder="1" applyAlignment="1">
      <alignment horizontal="right" vertical="center" wrapText="1"/>
    </xf>
    <xf numFmtId="9" fontId="2" fillId="9" borderId="7" xfId="0" applyNumberFormat="1" applyFont="1" applyFill="1" applyBorder="1" applyAlignment="1">
      <alignment vertical="center"/>
    </xf>
    <xf numFmtId="0" fontId="2" fillId="0" borderId="0" xfId="0" applyFont="1"/>
    <xf numFmtId="171" fontId="0" fillId="0" borderId="0" xfId="5" applyNumberFormat="1" applyFont="1"/>
    <xf numFmtId="167" fontId="29" fillId="0" borderId="0" xfId="4" applyFont="1" applyAlignment="1">
      <alignment horizontal="left" indent="2"/>
    </xf>
    <xf numFmtId="0" fontId="0" fillId="0" borderId="0" xfId="0" applyAlignment="1">
      <alignment horizontal="center"/>
    </xf>
    <xf numFmtId="168" fontId="15" fillId="0" borderId="2" xfId="4" applyNumberFormat="1" applyFont="1" applyBorder="1" applyAlignment="1">
      <alignment vertical="top" wrapText="1"/>
    </xf>
    <xf numFmtId="167" fontId="2" fillId="0" borderId="2" xfId="4" applyFont="1" applyBorder="1" applyAlignment="1">
      <alignment vertical="top" wrapText="1"/>
    </xf>
    <xf numFmtId="167" fontId="2" fillId="0" borderId="10" xfId="4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3" borderId="0" xfId="0" applyFont="1" applyFill="1" applyAlignment="1">
      <alignment horizontal="right" vertical="top" wrapText="1"/>
    </xf>
    <xf numFmtId="167" fontId="13" fillId="0" borderId="1" xfId="4" applyFont="1" applyBorder="1" applyAlignment="1">
      <alignment horizontal="left" vertical="top" wrapText="1"/>
    </xf>
    <xf numFmtId="167" fontId="14" fillId="0" borderId="0" xfId="4" applyFont="1" applyAlignment="1">
      <alignment horizontal="left" vertical="top" wrapText="1"/>
    </xf>
    <xf numFmtId="167" fontId="1" fillId="0" borderId="0" xfId="4" applyAlignment="1">
      <alignment horizontal="left" vertical="top" wrapText="1"/>
    </xf>
    <xf numFmtId="167" fontId="1" fillId="0" borderId="9" xfId="4" applyBorder="1" applyAlignment="1">
      <alignment horizontal="left" vertical="top" wrapText="1"/>
    </xf>
    <xf numFmtId="167" fontId="1" fillId="0" borderId="1" xfId="4" applyBorder="1" applyAlignment="1">
      <alignment horizontal="left" vertical="top" wrapText="1"/>
    </xf>
    <xf numFmtId="0" fontId="17" fillId="6" borderId="0" xfId="0" applyFont="1" applyFill="1" applyAlignment="1">
      <alignment vertical="top" wrapText="1"/>
    </xf>
    <xf numFmtId="0" fontId="18" fillId="6" borderId="7" xfId="0" applyFont="1" applyFill="1" applyBorder="1" applyAlignment="1">
      <alignment vertical="top" wrapText="1"/>
    </xf>
    <xf numFmtId="0" fontId="18" fillId="6" borderId="10" xfId="0" applyFont="1" applyFill="1" applyBorder="1" applyAlignment="1">
      <alignment vertical="top" wrapText="1"/>
    </xf>
    <xf numFmtId="0" fontId="18" fillId="6" borderId="0" xfId="0" applyFont="1" applyFill="1" applyAlignment="1">
      <alignment vertical="top" wrapText="1"/>
    </xf>
    <xf numFmtId="0" fontId="4" fillId="3" borderId="0" xfId="0" applyFont="1" applyFill="1" applyAlignment="1">
      <alignment horizontal="right" vertical="top"/>
    </xf>
    <xf numFmtId="167" fontId="13" fillId="0" borderId="1" xfId="4" applyFont="1" applyBorder="1" applyAlignment="1">
      <alignment horizontal="right" vertical="top"/>
    </xf>
    <xf numFmtId="167" fontId="14" fillId="0" borderId="0" xfId="4" applyFont="1" applyAlignment="1">
      <alignment horizontal="right" vertical="top"/>
    </xf>
    <xf numFmtId="167" fontId="1" fillId="0" borderId="0" xfId="4" applyAlignment="1">
      <alignment horizontal="right" vertical="top"/>
    </xf>
    <xf numFmtId="167" fontId="1" fillId="0" borderId="1" xfId="4" applyBorder="1" applyAlignment="1">
      <alignment horizontal="right" vertical="top"/>
    </xf>
    <xf numFmtId="0" fontId="0" fillId="0" borderId="0" xfId="0" applyAlignment="1">
      <alignment vertical="top"/>
    </xf>
    <xf numFmtId="167" fontId="13" fillId="9" borderId="1" xfId="4" applyFont="1" applyFill="1" applyBorder="1" applyAlignment="1">
      <alignment horizontal="right" vertical="top"/>
    </xf>
    <xf numFmtId="167" fontId="14" fillId="9" borderId="0" xfId="4" applyFont="1" applyFill="1" applyAlignment="1">
      <alignment horizontal="right" vertical="top"/>
    </xf>
    <xf numFmtId="167" fontId="1" fillId="9" borderId="0" xfId="4" applyFill="1" applyAlignment="1">
      <alignment horizontal="right" vertical="top"/>
    </xf>
    <xf numFmtId="167" fontId="2" fillId="9" borderId="2" xfId="4" applyFont="1" applyFill="1" applyBorder="1" applyAlignment="1">
      <alignment horizontal="right" vertical="top"/>
    </xf>
    <xf numFmtId="167" fontId="1" fillId="9" borderId="1" xfId="4" applyFill="1" applyBorder="1" applyAlignment="1">
      <alignment horizontal="right" vertical="top"/>
    </xf>
    <xf numFmtId="167" fontId="2" fillId="9" borderId="10" xfId="4" applyFont="1" applyFill="1" applyBorder="1" applyAlignment="1">
      <alignment horizontal="right" vertical="top"/>
    </xf>
    <xf numFmtId="0" fontId="0" fillId="9" borderId="0" xfId="0" applyFill="1" applyAlignment="1">
      <alignment vertical="top"/>
    </xf>
    <xf numFmtId="170" fontId="19" fillId="9" borderId="7" xfId="1" applyNumberFormat="1" applyFont="1" applyFill="1" applyBorder="1" applyAlignment="1">
      <alignment horizontal="right" vertical="top" wrapText="1"/>
    </xf>
    <xf numFmtId="170" fontId="20" fillId="9" borderId="0" xfId="1" applyNumberFormat="1" applyFont="1" applyFill="1" applyAlignment="1">
      <alignment horizontal="right" vertical="top" wrapText="1"/>
    </xf>
    <xf numFmtId="170" fontId="17" fillId="9" borderId="0" xfId="1" applyNumberFormat="1" applyFont="1" applyFill="1" applyAlignment="1">
      <alignment horizontal="right" vertical="top" wrapText="1"/>
    </xf>
    <xf numFmtId="170" fontId="21" fillId="9" borderId="7" xfId="1" applyNumberFormat="1" applyFont="1" applyFill="1" applyBorder="1" applyAlignment="1">
      <alignment horizontal="right" vertical="top" wrapText="1"/>
    </xf>
    <xf numFmtId="170" fontId="22" fillId="9" borderId="0" xfId="1" applyNumberFormat="1" applyFont="1" applyFill="1" applyAlignment="1">
      <alignment horizontal="right" vertical="top" wrapText="1"/>
    </xf>
    <xf numFmtId="170" fontId="21" fillId="9" borderId="10" xfId="1" applyNumberFormat="1" applyFont="1" applyFill="1" applyBorder="1" applyAlignment="1">
      <alignment horizontal="right" vertical="top" wrapText="1"/>
    </xf>
    <xf numFmtId="170" fontId="21" fillId="9" borderId="0" xfId="1" applyNumberFormat="1" applyFont="1" applyFill="1" applyAlignment="1">
      <alignment horizontal="right" vertical="top" wrapText="1"/>
    </xf>
    <xf numFmtId="170" fontId="18" fillId="9" borderId="0" xfId="1" applyNumberFormat="1" applyFont="1" applyFill="1" applyAlignment="1">
      <alignment horizontal="right" vertical="top" wrapText="1"/>
    </xf>
    <xf numFmtId="170" fontId="19" fillId="0" borderId="7" xfId="1" applyNumberFormat="1" applyFont="1" applyFill="1" applyBorder="1" applyAlignment="1">
      <alignment horizontal="right" vertical="top" wrapText="1"/>
    </xf>
    <xf numFmtId="170" fontId="20" fillId="0" borderId="0" xfId="1" applyNumberFormat="1" applyFont="1" applyFill="1" applyAlignment="1">
      <alignment horizontal="right" vertical="top" wrapText="1"/>
    </xf>
    <xf numFmtId="170" fontId="17" fillId="0" borderId="0" xfId="1" applyNumberFormat="1" applyFont="1" applyFill="1" applyAlignment="1">
      <alignment horizontal="right" vertical="top" wrapText="1"/>
    </xf>
    <xf numFmtId="170" fontId="21" fillId="0" borderId="7" xfId="1" applyNumberFormat="1" applyFont="1" applyFill="1" applyBorder="1" applyAlignment="1">
      <alignment horizontal="right" vertical="top" wrapText="1"/>
    </xf>
    <xf numFmtId="170" fontId="22" fillId="0" borderId="0" xfId="1" applyNumberFormat="1" applyFont="1" applyFill="1" applyAlignment="1">
      <alignment horizontal="right" vertical="top" wrapText="1"/>
    </xf>
    <xf numFmtId="170" fontId="21" fillId="0" borderId="10" xfId="1" applyNumberFormat="1" applyFont="1" applyFill="1" applyBorder="1" applyAlignment="1">
      <alignment horizontal="right" vertical="top" wrapText="1"/>
    </xf>
    <xf numFmtId="170" fontId="21" fillId="0" borderId="0" xfId="1" applyNumberFormat="1" applyFont="1" applyFill="1" applyAlignment="1">
      <alignment horizontal="right" vertical="top" wrapText="1"/>
    </xf>
    <xf numFmtId="170" fontId="18" fillId="0" borderId="0" xfId="1" applyNumberFormat="1" applyFont="1" applyFill="1" applyAlignment="1">
      <alignment horizontal="right" vertical="top" wrapText="1"/>
    </xf>
    <xf numFmtId="167" fontId="13" fillId="9" borderId="1" xfId="4" applyFont="1" applyFill="1" applyBorder="1" applyAlignment="1">
      <alignment horizontal="right"/>
    </xf>
    <xf numFmtId="167" fontId="14" fillId="9" borderId="0" xfId="4" applyFont="1" applyFill="1" applyAlignment="1">
      <alignment horizontal="right"/>
    </xf>
    <xf numFmtId="167" fontId="1" fillId="9" borderId="0" xfId="4" applyFill="1" applyAlignment="1">
      <alignment horizontal="right"/>
    </xf>
    <xf numFmtId="167" fontId="1" fillId="9" borderId="1" xfId="4" applyFill="1" applyBorder="1" applyAlignment="1">
      <alignment horizontal="right"/>
    </xf>
    <xf numFmtId="0" fontId="4" fillId="3" borderId="18" xfId="0" applyFont="1" applyFill="1" applyBorder="1" applyAlignment="1">
      <alignment horizontal="right" vertical="top"/>
    </xf>
    <xf numFmtId="0" fontId="4" fillId="3" borderId="18" xfId="0" applyFont="1" applyFill="1" applyBorder="1" applyAlignment="1">
      <alignment horizontal="right" vertical="center" indent="1"/>
    </xf>
    <xf numFmtId="14" fontId="4" fillId="3" borderId="0" xfId="0" applyNumberFormat="1" applyFont="1" applyFill="1" applyAlignment="1">
      <alignment horizontal="right" vertical="top"/>
    </xf>
    <xf numFmtId="14" fontId="0" fillId="0" borderId="0" xfId="0" applyNumberFormat="1"/>
    <xf numFmtId="14" fontId="4" fillId="3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right"/>
    </xf>
    <xf numFmtId="170" fontId="0" fillId="0" borderId="0" xfId="1" applyNumberFormat="1" applyFont="1" applyAlignment="1">
      <alignment horizontal="right" vertical="top"/>
    </xf>
    <xf numFmtId="0" fontId="0" fillId="0" borderId="0" xfId="0" applyAlignment="1">
      <alignment horizontal="right" vertical="top"/>
    </xf>
    <xf numFmtId="14" fontId="4" fillId="3" borderId="0" xfId="0" applyNumberFormat="1" applyFont="1" applyFill="1" applyAlignment="1">
      <alignment horizontal="center" vertical="top"/>
    </xf>
    <xf numFmtId="14" fontId="0" fillId="0" borderId="0" xfId="0" applyNumberFormat="1" applyAlignment="1">
      <alignment horizontal="center"/>
    </xf>
    <xf numFmtId="0" fontId="4" fillId="3" borderId="18" xfId="0" applyFont="1" applyFill="1" applyBorder="1" applyAlignment="1">
      <alignment horizontal="center" vertical="top"/>
    </xf>
    <xf numFmtId="167" fontId="2" fillId="0" borderId="0" xfId="4" applyFont="1" applyBorder="1" applyAlignment="1">
      <alignment vertical="top" wrapText="1"/>
    </xf>
    <xf numFmtId="167" fontId="2" fillId="9" borderId="0" xfId="4" applyFont="1" applyFill="1" applyBorder="1" applyAlignment="1">
      <alignment horizontal="right" vertical="top"/>
    </xf>
    <xf numFmtId="167" fontId="2" fillId="0" borderId="0" xfId="4" applyFont="1" applyBorder="1" applyAlignment="1">
      <alignment horizontal="right" vertical="top"/>
    </xf>
    <xf numFmtId="167" fontId="13" fillId="0" borderId="0" xfId="4" applyFont="1" applyFill="1" applyBorder="1" applyAlignment="1">
      <alignment horizontal="right" vertical="top"/>
    </xf>
    <xf numFmtId="167" fontId="2" fillId="0" borderId="0" xfId="4" applyFont="1" applyFill="1" applyBorder="1" applyAlignment="1">
      <alignment horizontal="right" vertical="top"/>
    </xf>
    <xf numFmtId="0" fontId="32" fillId="3" borderId="0" xfId="0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 indent="1"/>
    </xf>
    <xf numFmtId="0" fontId="2" fillId="0" borderId="1" xfId="0" applyFont="1" applyBorder="1"/>
    <xf numFmtId="0" fontId="2" fillId="0" borderId="2" xfId="0" applyFont="1" applyBorder="1"/>
    <xf numFmtId="0" fontId="14" fillId="0" borderId="0" xfId="0" applyFont="1"/>
    <xf numFmtId="0" fontId="2" fillId="0" borderId="7" xfId="0" applyFont="1" applyBorder="1"/>
    <xf numFmtId="167" fontId="13" fillId="9" borderId="1" xfId="4" applyFont="1" applyFill="1" applyBorder="1">
      <alignment vertical="top"/>
    </xf>
    <xf numFmtId="167" fontId="14" fillId="9" borderId="1" xfId="4" applyFont="1" applyFill="1" applyBorder="1">
      <alignment vertical="top"/>
    </xf>
    <xf numFmtId="167" fontId="13" fillId="9" borderId="0" xfId="4" applyFont="1" applyFill="1" applyBorder="1">
      <alignment vertical="top"/>
    </xf>
    <xf numFmtId="167" fontId="14" fillId="9" borderId="9" xfId="4" applyFont="1" applyFill="1" applyBorder="1">
      <alignment vertical="top"/>
    </xf>
    <xf numFmtId="167" fontId="13" fillId="0" borderId="1" xfId="4" applyFont="1" applyFill="1" applyBorder="1">
      <alignment vertical="top"/>
    </xf>
    <xf numFmtId="167" fontId="14" fillId="0" borderId="0" xfId="4" applyFont="1" applyFill="1" applyAlignment="1">
      <alignment vertical="top" wrapText="1"/>
    </xf>
    <xf numFmtId="167" fontId="1" fillId="0" borderId="0" xfId="4" applyFill="1" applyAlignment="1">
      <alignment vertical="top" wrapText="1"/>
    </xf>
    <xf numFmtId="167" fontId="1" fillId="0" borderId="1" xfId="4" applyFill="1" applyBorder="1" applyAlignment="1">
      <alignment vertical="top" wrapText="1"/>
    </xf>
    <xf numFmtId="167" fontId="14" fillId="0" borderId="1" xfId="4" applyFont="1" applyFill="1" applyBorder="1">
      <alignment vertical="top"/>
    </xf>
    <xf numFmtId="167" fontId="13" fillId="0" borderId="0" xfId="4" applyFont="1" applyFill="1" applyBorder="1">
      <alignment vertical="top"/>
    </xf>
    <xf numFmtId="167" fontId="14" fillId="0" borderId="9" xfId="4" applyFont="1" applyFill="1" applyBorder="1">
      <alignment vertical="top"/>
    </xf>
    <xf numFmtId="167" fontId="2" fillId="0" borderId="10" xfId="4" applyFont="1" applyFill="1" applyBorder="1" applyAlignment="1">
      <alignment vertical="top" wrapText="1"/>
    </xf>
    <xf numFmtId="167" fontId="1" fillId="0" borderId="0" xfId="4" applyFill="1" applyAlignment="1">
      <alignment horizontal="right" indent="1"/>
    </xf>
    <xf numFmtId="167" fontId="14" fillId="9" borderId="0" xfId="4" applyFont="1" applyFill="1" applyAlignment="1">
      <alignment vertical="top" wrapText="1"/>
    </xf>
    <xf numFmtId="167" fontId="1" fillId="9" borderId="0" xfId="4" applyFill="1" applyAlignment="1">
      <alignment vertical="top" wrapText="1"/>
    </xf>
    <xf numFmtId="167" fontId="1" fillId="9" borderId="1" xfId="4" applyFill="1" applyBorder="1" applyAlignment="1">
      <alignment vertical="top" wrapText="1"/>
    </xf>
    <xf numFmtId="167" fontId="2" fillId="9" borderId="10" xfId="4" applyFont="1" applyFill="1" applyBorder="1" applyAlignment="1">
      <alignment vertical="top" wrapText="1"/>
    </xf>
    <xf numFmtId="167" fontId="1" fillId="9" borderId="0" xfId="4" applyFill="1" applyAlignment="1">
      <alignment horizontal="right" indent="1"/>
    </xf>
    <xf numFmtId="0" fontId="12" fillId="9" borderId="0" xfId="3" applyFill="1" applyAlignment="1">
      <alignment vertical="top"/>
    </xf>
    <xf numFmtId="167" fontId="13" fillId="0" borderId="1" xfId="4" applyFont="1" applyFill="1" applyBorder="1" applyAlignment="1">
      <alignment horizontal="right" vertical="top"/>
    </xf>
    <xf numFmtId="167" fontId="14" fillId="0" borderId="0" xfId="4" applyFont="1" applyFill="1" applyAlignment="1">
      <alignment horizontal="right" vertical="top"/>
    </xf>
    <xf numFmtId="167" fontId="1" fillId="0" borderId="0" xfId="4" applyFill="1" applyAlignment="1">
      <alignment horizontal="right" vertical="top"/>
    </xf>
    <xf numFmtId="167" fontId="2" fillId="0" borderId="2" xfId="4" applyFont="1" applyFill="1" applyBorder="1" applyAlignment="1">
      <alignment horizontal="right" vertical="top"/>
    </xf>
    <xf numFmtId="167" fontId="1" fillId="0" borderId="1" xfId="4" applyFill="1" applyBorder="1" applyAlignment="1">
      <alignment horizontal="right" vertical="top"/>
    </xf>
    <xf numFmtId="167" fontId="2" fillId="0" borderId="10" xfId="4" applyFont="1" applyFill="1" applyBorder="1" applyAlignment="1">
      <alignment horizontal="right" vertical="top"/>
    </xf>
    <xf numFmtId="0" fontId="29" fillId="0" borderId="0" xfId="0" applyFont="1" applyAlignment="1">
      <alignment vertical="top"/>
    </xf>
    <xf numFmtId="0" fontId="29" fillId="0" borderId="0" xfId="0" applyFont="1"/>
    <xf numFmtId="169" fontId="14" fillId="10" borderId="0" xfId="4" applyNumberFormat="1" applyFont="1" applyFill="1" applyAlignment="1">
      <alignment vertical="top" wrapText="1"/>
    </xf>
    <xf numFmtId="14" fontId="21" fillId="9" borderId="1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0" fillId="0" borderId="19" xfId="0" applyBorder="1"/>
    <xf numFmtId="3" fontId="0" fillId="9" borderId="19" xfId="0" applyNumberFormat="1" applyFill="1" applyBorder="1"/>
    <xf numFmtId="3" fontId="0" fillId="0" borderId="19" xfId="0" applyNumberFormat="1" applyBorder="1"/>
    <xf numFmtId="0" fontId="32" fillId="3" borderId="20" xfId="0" applyFont="1" applyFill="1" applyBorder="1" applyAlignment="1">
      <alignment horizontal="center" vertical="center"/>
    </xf>
    <xf numFmtId="14" fontId="32" fillId="3" borderId="20" xfId="0" applyNumberFormat="1" applyFont="1" applyFill="1" applyBorder="1" applyAlignment="1">
      <alignment horizontal="center" vertical="center"/>
    </xf>
    <xf numFmtId="167" fontId="13" fillId="9" borderId="2" xfId="4" applyFont="1" applyFill="1" applyBorder="1">
      <alignment vertical="top"/>
    </xf>
    <xf numFmtId="167" fontId="13" fillId="0" borderId="2" xfId="4" applyFont="1" applyFill="1" applyBorder="1">
      <alignment vertical="top"/>
    </xf>
    <xf numFmtId="3" fontId="29" fillId="0" borderId="0" xfId="0" applyNumberFormat="1" applyFont="1" applyAlignment="1">
      <alignment horizontal="right"/>
    </xf>
    <xf numFmtId="3" fontId="32" fillId="3" borderId="0" xfId="0" applyNumberFormat="1" applyFont="1" applyFill="1" applyAlignment="1">
      <alignment horizontal="left" vertical="center"/>
    </xf>
    <xf numFmtId="164" fontId="0" fillId="0" borderId="0" xfId="0" applyNumberFormat="1"/>
    <xf numFmtId="0" fontId="18" fillId="6" borderId="23" xfId="0" applyFont="1" applyFill="1" applyBorder="1" applyAlignment="1">
      <alignment vertical="top" wrapText="1"/>
    </xf>
    <xf numFmtId="170" fontId="21" fillId="9" borderId="23" xfId="1" applyNumberFormat="1" applyFont="1" applyFill="1" applyBorder="1" applyAlignment="1">
      <alignment horizontal="right" vertical="top" wrapText="1"/>
    </xf>
    <xf numFmtId="170" fontId="21" fillId="0" borderId="23" xfId="1" applyNumberFormat="1" applyFont="1" applyFill="1" applyBorder="1" applyAlignment="1">
      <alignment horizontal="right" vertical="top" wrapText="1"/>
    </xf>
    <xf numFmtId="0" fontId="33" fillId="11" borderId="24" xfId="0" applyFont="1" applyFill="1" applyBorder="1" applyAlignment="1">
      <alignment horizontal="left" vertical="center" indent="1"/>
    </xf>
    <xf numFmtId="0" fontId="34" fillId="6" borderId="24" xfId="0" applyFont="1" applyFill="1" applyBorder="1" applyAlignment="1">
      <alignment vertical="top" wrapText="1"/>
    </xf>
    <xf numFmtId="170" fontId="33" fillId="9" borderId="24" xfId="1" applyNumberFormat="1" applyFont="1" applyFill="1" applyBorder="1" applyAlignment="1">
      <alignment horizontal="right" vertical="top" wrapText="1"/>
    </xf>
    <xf numFmtId="170" fontId="33" fillId="0" borderId="24" xfId="1" applyNumberFormat="1" applyFont="1" applyFill="1" applyBorder="1" applyAlignment="1">
      <alignment horizontal="right" vertical="top" wrapText="1"/>
    </xf>
    <xf numFmtId="170" fontId="19" fillId="9" borderId="23" xfId="1" applyNumberFormat="1" applyFont="1" applyFill="1" applyBorder="1" applyAlignment="1">
      <alignment horizontal="right" vertical="top" wrapText="1"/>
    </xf>
    <xf numFmtId="170" fontId="19" fillId="0" borderId="23" xfId="1" applyNumberFormat="1" applyFont="1" applyFill="1" applyBorder="1" applyAlignment="1">
      <alignment horizontal="right" vertical="top" wrapText="1"/>
    </xf>
    <xf numFmtId="0" fontId="4" fillId="3" borderId="26" xfId="0" applyFont="1" applyFill="1" applyBorder="1" applyAlignment="1">
      <alignment horizontal="right" vertical="center" indent="1"/>
    </xf>
    <xf numFmtId="0" fontId="4" fillId="3" borderId="7" xfId="0" applyFont="1" applyFill="1" applyBorder="1" applyAlignment="1">
      <alignment horizontal="right" vertical="center" indent="1"/>
    </xf>
    <xf numFmtId="0" fontId="4" fillId="3" borderId="27" xfId="0" applyFont="1" applyFill="1" applyBorder="1" applyAlignment="1">
      <alignment horizontal="left" vertical="center" indent="1"/>
    </xf>
    <xf numFmtId="0" fontId="4" fillId="3" borderId="27" xfId="0" applyFont="1" applyFill="1" applyBorder="1" applyAlignment="1">
      <alignment horizontal="right" vertical="center" indent="1"/>
    </xf>
    <xf numFmtId="0" fontId="36" fillId="0" borderId="28" xfId="0" applyFont="1" applyBorder="1" applyAlignment="1">
      <alignment horizontal="left" vertical="center" wrapText="1"/>
    </xf>
    <xf numFmtId="3" fontId="0" fillId="0" borderId="29" xfId="0" applyNumberFormat="1" applyBorder="1"/>
    <xf numFmtId="3" fontId="0" fillId="0" borderId="30" xfId="0" applyNumberFormat="1" applyBorder="1"/>
    <xf numFmtId="0" fontId="36" fillId="0" borderId="31" xfId="0" applyFont="1" applyBorder="1" applyAlignment="1">
      <alignment horizontal="left" vertical="center" wrapText="1"/>
    </xf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0" fontId="37" fillId="0" borderId="35" xfId="0" applyFont="1" applyBorder="1" applyAlignment="1">
      <alignment horizontal="left" vertical="center" wrapText="1"/>
    </xf>
    <xf numFmtId="3" fontId="2" fillId="0" borderId="36" xfId="0" applyNumberFormat="1" applyFont="1" applyBorder="1"/>
    <xf numFmtId="0" fontId="36" fillId="0" borderId="35" xfId="0" applyFont="1" applyBorder="1" applyAlignment="1">
      <alignment horizontal="left" vertical="center" wrapText="1"/>
    </xf>
    <xf numFmtId="3" fontId="0" fillId="0" borderId="37" xfId="0" applyNumberFormat="1" applyBorder="1"/>
    <xf numFmtId="3" fontId="0" fillId="0" borderId="38" xfId="0" applyNumberFormat="1" applyBorder="1"/>
    <xf numFmtId="0" fontId="37" fillId="0" borderId="26" xfId="0" applyFont="1" applyBorder="1" applyAlignment="1">
      <alignment horizontal="left" vertical="center" wrapText="1"/>
    </xf>
    <xf numFmtId="3" fontId="2" fillId="0" borderId="39" xfId="0" applyNumberFormat="1" applyFont="1" applyBorder="1"/>
    <xf numFmtId="3" fontId="2" fillId="0" borderId="40" xfId="0" applyNumberFormat="1" applyFont="1" applyBorder="1"/>
    <xf numFmtId="0" fontId="4" fillId="3" borderId="26" xfId="0" applyFont="1" applyFill="1" applyBorder="1" applyAlignment="1">
      <alignment horizontal="left" vertical="center" indent="1"/>
    </xf>
    <xf numFmtId="0" fontId="36" fillId="0" borderId="41" xfId="0" applyFont="1" applyBorder="1" applyAlignment="1">
      <alignment horizontal="left" vertical="center" wrapText="1"/>
    </xf>
    <xf numFmtId="3" fontId="0" fillId="0" borderId="36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3" fontId="2" fillId="0" borderId="0" xfId="0" applyNumberFormat="1" applyFont="1"/>
    <xf numFmtId="172" fontId="0" fillId="0" borderId="29" xfId="0" applyNumberFormat="1" applyBorder="1"/>
    <xf numFmtId="172" fontId="0" fillId="0" borderId="30" xfId="0" applyNumberFormat="1" applyBorder="1"/>
    <xf numFmtId="172" fontId="0" fillId="0" borderId="32" xfId="0" applyNumberFormat="1" applyBorder="1"/>
    <xf numFmtId="172" fontId="0" fillId="0" borderId="33" xfId="0" applyNumberFormat="1" applyBorder="1"/>
    <xf numFmtId="0" fontId="36" fillId="0" borderId="45" xfId="0" applyFont="1" applyBorder="1" applyAlignment="1">
      <alignment horizontal="left" vertical="center" wrapText="1"/>
    </xf>
    <xf numFmtId="4" fontId="0" fillId="0" borderId="38" xfId="0" applyNumberFormat="1" applyBorder="1"/>
    <xf numFmtId="172" fontId="0" fillId="0" borderId="0" xfId="0" applyNumberFormat="1"/>
    <xf numFmtId="0" fontId="4" fillId="3" borderId="26" xfId="0" applyFont="1" applyFill="1" applyBorder="1" applyAlignment="1">
      <alignment horizontal="left" vertical="center" wrapText="1" indent="1"/>
    </xf>
    <xf numFmtId="3" fontId="0" fillId="0" borderId="46" xfId="0" applyNumberFormat="1" applyBorder="1"/>
    <xf numFmtId="3" fontId="0" fillId="0" borderId="47" xfId="0" applyNumberFormat="1" applyBorder="1"/>
    <xf numFmtId="167" fontId="1" fillId="11" borderId="1" xfId="4" applyFill="1" applyBorder="1" applyAlignment="1">
      <alignment vertical="top" wrapText="1"/>
    </xf>
    <xf numFmtId="167" fontId="1" fillId="0" borderId="0" xfId="4" applyFont="1" applyBorder="1" applyAlignment="1">
      <alignment horizontal="right" vertical="top"/>
    </xf>
    <xf numFmtId="167" fontId="14" fillId="11" borderId="0" xfId="4" applyFont="1" applyFill="1" applyAlignment="1">
      <alignment vertical="top" wrapText="1"/>
    </xf>
    <xf numFmtId="0" fontId="0" fillId="11" borderId="0" xfId="0" applyFill="1" applyAlignment="1">
      <alignment vertical="top" wrapText="1"/>
    </xf>
    <xf numFmtId="0" fontId="38" fillId="0" borderId="0" xfId="0" applyFont="1" applyAlignment="1">
      <alignment vertical="top" wrapText="1"/>
    </xf>
    <xf numFmtId="167" fontId="14" fillId="9" borderId="0" xfId="4" applyFont="1" applyFill="1" applyBorder="1">
      <alignment vertical="top"/>
    </xf>
    <xf numFmtId="167" fontId="14" fillId="0" borderId="0" xfId="4" applyFont="1" applyFill="1" applyBorder="1">
      <alignment vertical="top"/>
    </xf>
    <xf numFmtId="0" fontId="22" fillId="6" borderId="0" xfId="6" applyFont="1" applyFill="1" applyAlignment="1">
      <alignment horizontal="left" vertical="center" indent="1"/>
    </xf>
    <xf numFmtId="167" fontId="1" fillId="0" borderId="0" xfId="4" applyAlignment="1">
      <alignment horizontal="left" vertical="top" wrapText="1" indent="1"/>
    </xf>
    <xf numFmtId="0" fontId="36" fillId="0" borderId="48" xfId="0" applyFont="1" applyBorder="1" applyAlignment="1">
      <alignment horizontal="left" vertical="center" wrapText="1"/>
    </xf>
    <xf numFmtId="0" fontId="36" fillId="0" borderId="49" xfId="0" applyFont="1" applyBorder="1" applyAlignment="1">
      <alignment horizontal="left" vertical="center" wrapText="1"/>
    </xf>
    <xf numFmtId="172" fontId="2" fillId="0" borderId="40" xfId="0" applyNumberFormat="1" applyFont="1" applyBorder="1"/>
    <xf numFmtId="172" fontId="0" fillId="0" borderId="51" xfId="0" applyNumberFormat="1" applyBorder="1"/>
    <xf numFmtId="172" fontId="0" fillId="0" borderId="52" xfId="0" applyNumberFormat="1" applyBorder="1"/>
    <xf numFmtId="0" fontId="4" fillId="3" borderId="21" xfId="0" applyFont="1" applyFill="1" applyBorder="1" applyAlignment="1">
      <alignment horizontal="right" vertical="center" indent="1"/>
    </xf>
    <xf numFmtId="0" fontId="4" fillId="3" borderId="40" xfId="0" applyFont="1" applyFill="1" applyBorder="1" applyAlignment="1">
      <alignment horizontal="right" vertical="center" indent="1"/>
    </xf>
    <xf numFmtId="3" fontId="2" fillId="0" borderId="53" xfId="0" applyNumberFormat="1" applyFont="1" applyBorder="1"/>
    <xf numFmtId="172" fontId="0" fillId="0" borderId="54" xfId="0" applyNumberFormat="1" applyBorder="1"/>
    <xf numFmtId="172" fontId="0" fillId="0" borderId="44" xfId="0" applyNumberFormat="1" applyBorder="1"/>
    <xf numFmtId="167" fontId="40" fillId="12" borderId="0" xfId="17" applyFont="1" applyFill="1" applyBorder="1" applyAlignment="1"/>
    <xf numFmtId="166" fontId="7" fillId="0" borderId="5" xfId="2" applyNumberFormat="1" applyFont="1" applyFill="1" applyBorder="1">
      <alignment horizontal="right" vertical="center"/>
    </xf>
    <xf numFmtId="175" fontId="41" fillId="13" borderId="7" xfId="0" applyNumberFormat="1" applyFont="1" applyFill="1" applyBorder="1" applyAlignment="1">
      <alignment horizontal="center" vertical="center" wrapText="1"/>
    </xf>
    <xf numFmtId="14" fontId="41" fillId="13" borderId="7" xfId="0" applyNumberFormat="1" applyFont="1" applyFill="1" applyBorder="1" applyAlignment="1">
      <alignment horizontal="center" vertical="center" wrapText="1"/>
    </xf>
    <xf numFmtId="14" fontId="41" fillId="13" borderId="7" xfId="0" applyNumberFormat="1" applyFont="1" applyFill="1" applyBorder="1" applyAlignment="1">
      <alignment horizontal="center" wrapText="1"/>
    </xf>
    <xf numFmtId="0" fontId="42" fillId="14" borderId="1" xfId="0" applyFont="1" applyFill="1" applyBorder="1" applyAlignment="1">
      <alignment vertical="center"/>
    </xf>
    <xf numFmtId="167" fontId="42" fillId="0" borderId="1" xfId="0" applyNumberFormat="1" applyFont="1" applyBorder="1" applyAlignment="1">
      <alignment horizontal="center"/>
    </xf>
    <xf numFmtId="167" fontId="42" fillId="15" borderId="1" xfId="0" applyNumberFormat="1" applyFont="1" applyFill="1" applyBorder="1" applyAlignment="1">
      <alignment horizontal="center"/>
    </xf>
    <xf numFmtId="0" fontId="43" fillId="14" borderId="0" xfId="0" applyFont="1" applyFill="1" applyAlignment="1">
      <alignment horizontal="left" vertical="center" indent="1"/>
    </xf>
    <xf numFmtId="167" fontId="43" fillId="0" borderId="0" xfId="51" applyFont="1" applyFill="1" applyBorder="1" applyAlignment="1">
      <alignment horizontal="center"/>
    </xf>
    <xf numFmtId="167" fontId="43" fillId="15" borderId="0" xfId="51" applyFont="1" applyFill="1" applyBorder="1" applyAlignment="1">
      <alignment horizontal="center"/>
    </xf>
    <xf numFmtId="0" fontId="42" fillId="14" borderId="55" xfId="0" applyFont="1" applyFill="1" applyBorder="1" applyAlignment="1">
      <alignment vertical="center"/>
    </xf>
    <xf numFmtId="167" fontId="42" fillId="0" borderId="55" xfId="51" applyFont="1" applyFill="1" applyBorder="1" applyAlignment="1">
      <alignment horizontal="center"/>
    </xf>
    <xf numFmtId="167" fontId="42" fillId="15" borderId="55" xfId="51" applyFont="1" applyFill="1" applyBorder="1" applyAlignment="1">
      <alignment horizontal="center"/>
    </xf>
    <xf numFmtId="0" fontId="44" fillId="0" borderId="0" xfId="0" applyFont="1"/>
    <xf numFmtId="167" fontId="44" fillId="0" borderId="0" xfId="0" applyNumberFormat="1" applyFont="1"/>
    <xf numFmtId="167" fontId="41" fillId="13" borderId="7" xfId="0" applyNumberFormat="1" applyFont="1" applyFill="1" applyBorder="1" applyAlignment="1">
      <alignment horizontal="center" vertical="center" wrapText="1"/>
    </xf>
    <xf numFmtId="167" fontId="41" fillId="13" borderId="7" xfId="0" applyNumberFormat="1" applyFont="1" applyFill="1" applyBorder="1" applyAlignment="1">
      <alignment horizontal="center" wrapText="1"/>
    </xf>
    <xf numFmtId="0" fontId="45" fillId="0" borderId="50" xfId="0" applyFont="1" applyBorder="1" applyAlignment="1">
      <alignment horizontal="left" vertical="center" wrapText="1" indent="1"/>
    </xf>
    <xf numFmtId="3" fontId="8" fillId="0" borderId="42" xfId="0" applyNumberFormat="1" applyFont="1" applyBorder="1"/>
    <xf numFmtId="173" fontId="8" fillId="0" borderId="42" xfId="1" applyNumberFormat="1" applyFont="1" applyBorder="1"/>
    <xf numFmtId="0" fontId="21" fillId="6" borderId="55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32" fillId="3" borderId="13" xfId="0" applyFont="1" applyFill="1" applyBorder="1" applyAlignment="1">
      <alignment horizontal="left" vertical="center"/>
    </xf>
    <xf numFmtId="0" fontId="32" fillId="3" borderId="56" xfId="0" applyFont="1" applyFill="1" applyBorder="1" applyAlignment="1">
      <alignment horizontal="center" vertical="center"/>
    </xf>
    <xf numFmtId="0" fontId="32" fillId="3" borderId="57" xfId="0" applyFont="1" applyFill="1" applyBorder="1" applyAlignment="1">
      <alignment horizontal="center" vertical="center"/>
    </xf>
    <xf numFmtId="0" fontId="0" fillId="0" borderId="14" xfId="0" applyBorder="1"/>
    <xf numFmtId="0" fontId="21" fillId="6" borderId="15" xfId="0" applyFont="1" applyFill="1" applyBorder="1" applyAlignment="1">
      <alignment vertical="center"/>
    </xf>
    <xf numFmtId="0" fontId="22" fillId="6" borderId="14" xfId="0" applyFont="1" applyFill="1" applyBorder="1" applyAlignment="1">
      <alignment horizontal="left" vertical="center" indent="1"/>
    </xf>
    <xf numFmtId="0" fontId="21" fillId="6" borderId="59" xfId="0" applyFont="1" applyFill="1" applyBorder="1" applyAlignment="1">
      <alignment vertical="center"/>
    </xf>
    <xf numFmtId="3" fontId="0" fillId="9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9" borderId="19" xfId="0" applyNumberForma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11" borderId="19" xfId="0" applyNumberFormat="1" applyFill="1" applyBorder="1" applyAlignment="1">
      <alignment horizontal="center"/>
    </xf>
    <xf numFmtId="0" fontId="32" fillId="3" borderId="13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horizontal="left" vertical="center" wrapText="1"/>
    </xf>
    <xf numFmtId="173" fontId="0" fillId="0" borderId="0" xfId="1" applyNumberFormat="1" applyFont="1"/>
    <xf numFmtId="170" fontId="0" fillId="0" borderId="0" xfId="0" applyNumberFormat="1"/>
    <xf numFmtId="2" fontId="0" fillId="0" borderId="0" xfId="0" applyNumberFormat="1" applyAlignment="1">
      <alignment vertical="top"/>
    </xf>
    <xf numFmtId="170" fontId="19" fillId="11" borderId="7" xfId="1" applyNumberFormat="1" applyFont="1" applyFill="1" applyBorder="1" applyAlignment="1">
      <alignment horizontal="right" vertical="top" wrapText="1"/>
    </xf>
    <xf numFmtId="170" fontId="20" fillId="11" borderId="0" xfId="1" applyNumberFormat="1" applyFont="1" applyFill="1" applyAlignment="1">
      <alignment horizontal="right" vertical="top" wrapText="1"/>
    </xf>
    <xf numFmtId="170" fontId="17" fillId="11" borderId="0" xfId="1" applyNumberFormat="1" applyFont="1" applyFill="1" applyAlignment="1">
      <alignment horizontal="right" vertical="top" wrapText="1"/>
    </xf>
    <xf numFmtId="170" fontId="21" fillId="11" borderId="7" xfId="1" applyNumberFormat="1" applyFont="1" applyFill="1" applyBorder="1" applyAlignment="1">
      <alignment horizontal="right" vertical="top" wrapText="1"/>
    </xf>
    <xf numFmtId="170" fontId="22" fillId="11" borderId="0" xfId="1" applyNumberFormat="1" applyFont="1" applyFill="1" applyAlignment="1">
      <alignment horizontal="right" vertical="top" wrapText="1"/>
    </xf>
    <xf numFmtId="170" fontId="21" fillId="11" borderId="10" xfId="1" applyNumberFormat="1" applyFont="1" applyFill="1" applyBorder="1" applyAlignment="1">
      <alignment horizontal="right" vertical="top" wrapText="1"/>
    </xf>
    <xf numFmtId="170" fontId="21" fillId="11" borderId="0" xfId="1" applyNumberFormat="1" applyFont="1" applyFill="1" applyAlignment="1">
      <alignment horizontal="right" vertical="top" wrapText="1"/>
    </xf>
    <xf numFmtId="167" fontId="13" fillId="11" borderId="1" xfId="4" applyFont="1" applyFill="1" applyBorder="1" applyAlignment="1">
      <alignment horizontal="right" vertical="top"/>
    </xf>
    <xf numFmtId="167" fontId="14" fillId="11" borderId="0" xfId="4" applyFont="1" applyFill="1" applyAlignment="1">
      <alignment horizontal="right" vertical="top"/>
    </xf>
    <xf numFmtId="167" fontId="1" fillId="11" borderId="0" xfId="4" applyFill="1" applyAlignment="1">
      <alignment horizontal="right" vertical="top"/>
    </xf>
    <xf numFmtId="167" fontId="2" fillId="11" borderId="2" xfId="4" applyFont="1" applyFill="1" applyBorder="1" applyAlignment="1">
      <alignment horizontal="right" vertical="top"/>
    </xf>
    <xf numFmtId="167" fontId="1" fillId="11" borderId="1" xfId="4" applyFill="1" applyBorder="1" applyAlignment="1">
      <alignment horizontal="right" vertical="top"/>
    </xf>
    <xf numFmtId="167" fontId="2" fillId="11" borderId="10" xfId="4" applyFont="1" applyFill="1" applyBorder="1" applyAlignment="1">
      <alignment horizontal="right" vertical="top"/>
    </xf>
    <xf numFmtId="167" fontId="2" fillId="11" borderId="0" xfId="4" applyFont="1" applyFill="1" applyBorder="1" applyAlignment="1">
      <alignment horizontal="right" vertical="top"/>
    </xf>
    <xf numFmtId="167" fontId="1" fillId="11" borderId="0" xfId="4" applyFill="1" applyAlignment="1">
      <alignment horizontal="right" indent="1"/>
    </xf>
    <xf numFmtId="0" fontId="4" fillId="3" borderId="39" xfId="0" applyFont="1" applyFill="1" applyBorder="1" applyAlignment="1">
      <alignment horizontal="right" vertical="center" indent="1"/>
    </xf>
    <xf numFmtId="0" fontId="36" fillId="0" borderId="58" xfId="0" applyFont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indent="1"/>
    </xf>
    <xf numFmtId="0" fontId="36" fillId="0" borderId="64" xfId="0" applyFont="1" applyBorder="1" applyAlignment="1">
      <alignment horizontal="left" vertical="center" wrapText="1"/>
    </xf>
    <xf numFmtId="0" fontId="36" fillId="0" borderId="65" xfId="0" applyFont="1" applyBorder="1" applyAlignment="1">
      <alignment horizontal="left" vertical="center" wrapText="1"/>
    </xf>
    <xf numFmtId="0" fontId="36" fillId="0" borderId="66" xfId="0" applyFont="1" applyBorder="1" applyAlignment="1">
      <alignment horizontal="left" vertical="center" wrapText="1"/>
    </xf>
    <xf numFmtId="0" fontId="4" fillId="3" borderId="67" xfId="0" applyFont="1" applyFill="1" applyBorder="1" applyAlignment="1">
      <alignment horizontal="right" vertical="center" indent="1"/>
    </xf>
    <xf numFmtId="0" fontId="4" fillId="3" borderId="13" xfId="0" applyFont="1" applyFill="1" applyBorder="1" applyAlignment="1">
      <alignment horizontal="right" vertical="center" indent="1"/>
    </xf>
    <xf numFmtId="3" fontId="0" fillId="0" borderId="44" xfId="0" applyNumberFormat="1" applyBorder="1"/>
    <xf numFmtId="3" fontId="2" fillId="0" borderId="50" xfId="0" applyNumberFormat="1" applyFont="1" applyBorder="1"/>
    <xf numFmtId="173" fontId="0" fillId="0" borderId="47" xfId="1" applyNumberFormat="1" applyFont="1" applyBorder="1"/>
    <xf numFmtId="0" fontId="4" fillId="0" borderId="0" xfId="0" applyFont="1" applyAlignment="1">
      <alignment horizontal="right" vertical="center" indent="1"/>
    </xf>
    <xf numFmtId="167" fontId="13" fillId="0" borderId="0" xfId="4" applyFont="1" applyFill="1" applyBorder="1" applyAlignment="1">
      <alignment horizontal="right"/>
    </xf>
    <xf numFmtId="167" fontId="14" fillId="0" borderId="0" xfId="4" applyFont="1" applyFill="1" applyBorder="1" applyAlignment="1">
      <alignment horizontal="right"/>
    </xf>
    <xf numFmtId="167" fontId="1" fillId="0" borderId="0" xfId="4" applyFill="1" applyBorder="1" applyAlignment="1">
      <alignment horizontal="right"/>
    </xf>
    <xf numFmtId="167" fontId="1" fillId="11" borderId="9" xfId="4" applyFill="1" applyBorder="1" applyAlignment="1">
      <alignment horizontal="right" vertical="top"/>
    </xf>
    <xf numFmtId="170" fontId="21" fillId="9" borderId="9" xfId="1" applyNumberFormat="1" applyFont="1" applyFill="1" applyBorder="1" applyAlignment="1">
      <alignment horizontal="right" vertical="top" wrapText="1"/>
    </xf>
    <xf numFmtId="170" fontId="21" fillId="0" borderId="9" xfId="1" applyNumberFormat="1" applyFont="1" applyFill="1" applyBorder="1" applyAlignment="1">
      <alignment horizontal="right" vertical="top" wrapText="1"/>
    </xf>
    <xf numFmtId="170" fontId="19" fillId="9" borderId="24" xfId="1" applyNumberFormat="1" applyFont="1" applyFill="1" applyBorder="1" applyAlignment="1">
      <alignment horizontal="right" vertical="top" wrapText="1"/>
    </xf>
    <xf numFmtId="170" fontId="19" fillId="0" borderId="24" xfId="1" applyNumberFormat="1" applyFont="1" applyFill="1" applyBorder="1" applyAlignment="1">
      <alignment horizontal="right" vertical="top" wrapText="1"/>
    </xf>
    <xf numFmtId="173" fontId="20" fillId="0" borderId="0" xfId="1" applyNumberFormat="1" applyFont="1" applyFill="1" applyAlignment="1">
      <alignment horizontal="right" vertical="top" wrapText="1"/>
    </xf>
    <xf numFmtId="173" fontId="20" fillId="9" borderId="0" xfId="1" applyNumberFormat="1" applyFont="1" applyFill="1" applyAlignment="1">
      <alignment horizontal="right" vertical="top" wrapText="1"/>
    </xf>
    <xf numFmtId="0" fontId="0" fillId="0" borderId="60" xfId="0" applyBorder="1" applyAlignment="1">
      <alignment horizontal="center"/>
    </xf>
    <xf numFmtId="170" fontId="21" fillId="9" borderId="0" xfId="1" applyNumberFormat="1" applyFont="1" applyFill="1" applyBorder="1" applyAlignment="1">
      <alignment horizontal="right" vertical="top" wrapText="1"/>
    </xf>
    <xf numFmtId="170" fontId="21" fillId="0" borderId="0" xfId="1" applyNumberFormat="1" applyFont="1" applyFill="1" applyBorder="1" applyAlignment="1">
      <alignment horizontal="right" vertical="top" wrapText="1"/>
    </xf>
    <xf numFmtId="170" fontId="22" fillId="0" borderId="0" xfId="1" applyNumberFormat="1" applyFont="1" applyFill="1" applyBorder="1" applyAlignment="1">
      <alignment horizontal="right" vertical="top" wrapText="1"/>
    </xf>
    <xf numFmtId="170" fontId="22" fillId="9" borderId="0" xfId="1" applyNumberFormat="1" applyFont="1" applyFill="1" applyBorder="1" applyAlignment="1">
      <alignment horizontal="right" vertical="top" wrapText="1"/>
    </xf>
    <xf numFmtId="170" fontId="19" fillId="9" borderId="0" xfId="1" applyNumberFormat="1" applyFont="1" applyFill="1" applyBorder="1" applyAlignment="1">
      <alignment horizontal="right" vertical="top" wrapText="1"/>
    </xf>
    <xf numFmtId="170" fontId="19" fillId="0" borderId="0" xfId="1" applyNumberFormat="1" applyFont="1" applyFill="1" applyBorder="1" applyAlignment="1">
      <alignment horizontal="right" vertical="top" wrapText="1"/>
    </xf>
    <xf numFmtId="170" fontId="20" fillId="0" borderId="0" xfId="1" applyNumberFormat="1" applyFont="1" applyFill="1" applyBorder="1" applyAlignment="1">
      <alignment horizontal="right" vertical="top" wrapText="1"/>
    </xf>
    <xf numFmtId="177" fontId="0" fillId="0" borderId="0" xfId="0" applyNumberFormat="1"/>
    <xf numFmtId="167" fontId="2" fillId="0" borderId="10" xfId="4" applyNumberFormat="1" applyFont="1" applyBorder="1" applyAlignment="1">
      <alignment horizontal="right" vertical="top"/>
    </xf>
    <xf numFmtId="170" fontId="33" fillId="9" borderId="0" xfId="1" applyNumberFormat="1" applyFont="1" applyFill="1" applyBorder="1" applyAlignment="1">
      <alignment horizontal="right" vertical="top" wrapText="1"/>
    </xf>
    <xf numFmtId="170" fontId="35" fillId="9" borderId="0" xfId="1" applyNumberFormat="1" applyFont="1" applyFill="1" applyBorder="1" applyAlignment="1">
      <alignment horizontal="right" vertical="top" wrapText="1"/>
    </xf>
    <xf numFmtId="0" fontId="33" fillId="11" borderId="0" xfId="0" applyFont="1" applyFill="1" applyBorder="1" applyAlignment="1">
      <alignment horizontal="left" vertical="center" indent="1"/>
    </xf>
    <xf numFmtId="0" fontId="34" fillId="6" borderId="0" xfId="0" applyFont="1" applyFill="1" applyBorder="1" applyAlignment="1">
      <alignment vertical="top" wrapText="1"/>
    </xf>
    <xf numFmtId="170" fontId="33" fillId="0" borderId="0" xfId="1" applyNumberFormat="1" applyFont="1" applyFill="1" applyBorder="1" applyAlignment="1">
      <alignment horizontal="right" vertical="top" wrapText="1"/>
    </xf>
    <xf numFmtId="0" fontId="33" fillId="11" borderId="68" xfId="0" applyFont="1" applyFill="1" applyBorder="1" applyAlignment="1">
      <alignment horizontal="left" vertical="center" indent="1"/>
    </xf>
    <xf numFmtId="0" fontId="34" fillId="6" borderId="68" xfId="0" applyFont="1" applyFill="1" applyBorder="1" applyAlignment="1">
      <alignment vertical="top" wrapText="1"/>
    </xf>
    <xf numFmtId="170" fontId="35" fillId="9" borderId="68" xfId="1" applyNumberFormat="1" applyFont="1" applyFill="1" applyBorder="1" applyAlignment="1">
      <alignment horizontal="right" vertical="top" wrapText="1"/>
    </xf>
    <xf numFmtId="170" fontId="35" fillId="0" borderId="68" xfId="1" applyNumberFormat="1" applyFont="1" applyFill="1" applyBorder="1" applyAlignment="1">
      <alignment horizontal="right" vertical="top" wrapText="1"/>
    </xf>
    <xf numFmtId="0" fontId="18" fillId="6" borderId="11" xfId="0" applyFont="1" applyFill="1" applyBorder="1" applyAlignment="1">
      <alignment vertical="top" wrapText="1"/>
    </xf>
    <xf numFmtId="170" fontId="21" fillId="9" borderId="11" xfId="1" applyNumberFormat="1" applyFont="1" applyFill="1" applyBorder="1" applyAlignment="1">
      <alignment horizontal="right" vertical="top" wrapText="1"/>
    </xf>
    <xf numFmtId="170" fontId="21" fillId="0" borderId="11" xfId="1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29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 vertical="center" indent="1"/>
    </xf>
    <xf numFmtId="0" fontId="34" fillId="6" borderId="12" xfId="0" applyFont="1" applyFill="1" applyBorder="1" applyAlignment="1">
      <alignment vertical="top" wrapText="1"/>
    </xf>
    <xf numFmtId="170" fontId="19" fillId="9" borderId="11" xfId="1" applyNumberFormat="1" applyFont="1" applyFill="1" applyBorder="1" applyAlignment="1">
      <alignment horizontal="right" vertical="top" wrapText="1"/>
    </xf>
    <xf numFmtId="170" fontId="19" fillId="0" borderId="11" xfId="1" applyNumberFormat="1" applyFont="1" applyFill="1" applyBorder="1" applyAlignment="1">
      <alignment horizontal="right" vertical="top" wrapText="1"/>
    </xf>
    <xf numFmtId="170" fontId="35" fillId="0" borderId="0" xfId="1" applyNumberFormat="1" applyFont="1" applyFill="1" applyBorder="1" applyAlignment="1">
      <alignment horizontal="right" vertical="top" wrapText="1"/>
    </xf>
    <xf numFmtId="170" fontId="33" fillId="9" borderId="68" xfId="1" applyNumberFormat="1" applyFont="1" applyFill="1" applyBorder="1" applyAlignment="1">
      <alignment horizontal="right" vertical="top" wrapText="1"/>
    </xf>
    <xf numFmtId="170" fontId="33" fillId="0" borderId="68" xfId="1" applyNumberFormat="1" applyFont="1" applyFill="1" applyBorder="1" applyAlignment="1">
      <alignment horizontal="right" vertical="top" wrapText="1"/>
    </xf>
    <xf numFmtId="3" fontId="0" fillId="0" borderId="0" xfId="0" applyNumberFormat="1" applyBorder="1" applyAlignment="1">
      <alignment horizontal="left"/>
    </xf>
    <xf numFmtId="0" fontId="21" fillId="6" borderId="69" xfId="0" applyFont="1" applyFill="1" applyBorder="1" applyAlignment="1">
      <alignment vertical="center"/>
    </xf>
    <xf numFmtId="3" fontId="2" fillId="0" borderId="61" xfId="0" applyNumberFormat="1" applyFont="1" applyFill="1" applyBorder="1" applyAlignment="1">
      <alignment horizontal="center"/>
    </xf>
    <xf numFmtId="167" fontId="19" fillId="0" borderId="2" xfId="61" applyNumberFormat="1" applyFont="1" applyFill="1" applyBorder="1" applyAlignment="1">
      <alignment horizontal="center"/>
    </xf>
    <xf numFmtId="167" fontId="19" fillId="0" borderId="65" xfId="61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7" fontId="20" fillId="0" borderId="0" xfId="51" applyFont="1" applyFill="1" applyBorder="1" applyAlignment="1">
      <alignment horizontal="center"/>
    </xf>
    <xf numFmtId="167" fontId="20" fillId="0" borderId="58" xfId="51" applyFont="1" applyFill="1" applyBorder="1" applyAlignment="1">
      <alignment horizontal="center"/>
    </xf>
    <xf numFmtId="3" fontId="2" fillId="0" borderId="55" xfId="0" applyNumberFormat="1" applyFont="1" applyFill="1" applyBorder="1" applyAlignment="1">
      <alignment horizontal="center"/>
    </xf>
    <xf numFmtId="167" fontId="19" fillId="0" borderId="55" xfId="61" applyNumberFormat="1" applyFont="1" applyFill="1" applyBorder="1" applyAlignment="1">
      <alignment horizontal="center"/>
    </xf>
    <xf numFmtId="167" fontId="19" fillId="0" borderId="63" xfId="61" applyNumberFormat="1" applyFont="1" applyFill="1" applyBorder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2" fillId="0" borderId="70" xfId="0" applyNumberFormat="1" applyFont="1" applyFill="1" applyBorder="1" applyAlignment="1">
      <alignment horizontal="center"/>
    </xf>
    <xf numFmtId="3" fontId="47" fillId="0" borderId="70" xfId="51" applyNumberFormat="1" applyFont="1" applyFill="1" applyBorder="1" applyAlignment="1">
      <alignment horizontal="center"/>
    </xf>
    <xf numFmtId="3" fontId="47" fillId="0" borderId="71" xfId="51" applyNumberFormat="1" applyFont="1" applyFill="1" applyBorder="1" applyAlignment="1">
      <alignment horizontal="center"/>
    </xf>
    <xf numFmtId="0" fontId="32" fillId="3" borderId="23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left" vertical="center" indent="1"/>
    </xf>
    <xf numFmtId="0" fontId="21" fillId="6" borderId="70" xfId="0" applyFont="1" applyFill="1" applyBorder="1" applyAlignment="1">
      <alignment vertical="center"/>
    </xf>
    <xf numFmtId="0" fontId="0" fillId="0" borderId="0" xfId="0" applyBorder="1"/>
    <xf numFmtId="0" fontId="32" fillId="3" borderId="14" xfId="0" applyFont="1" applyFill="1" applyBorder="1" applyAlignment="1">
      <alignment horizontal="left" vertical="center"/>
    </xf>
    <xf numFmtId="0" fontId="32" fillId="3" borderId="0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center" vertical="center"/>
    </xf>
    <xf numFmtId="0" fontId="32" fillId="3" borderId="73" xfId="0" applyFont="1" applyFill="1" applyBorder="1" applyAlignment="1">
      <alignment horizontal="center" vertical="center"/>
    </xf>
    <xf numFmtId="0" fontId="29" fillId="0" borderId="74" xfId="0" applyFont="1" applyBorder="1" applyAlignment="1">
      <alignment horizontal="right"/>
    </xf>
    <xf numFmtId="0" fontId="0" fillId="0" borderId="74" xfId="0" applyFont="1" applyBorder="1" applyAlignment="1">
      <alignment horizontal="center"/>
    </xf>
    <xf numFmtId="0" fontId="0" fillId="0" borderId="74" xfId="0" applyFont="1" applyBorder="1"/>
    <xf numFmtId="3" fontId="2" fillId="0" borderId="1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21" fillId="0" borderId="70" xfId="0" applyFont="1" applyFill="1" applyBorder="1" applyAlignment="1">
      <alignment vertical="center"/>
    </xf>
    <xf numFmtId="167" fontId="19" fillId="0" borderId="70" xfId="61" applyNumberFormat="1" applyFont="1" applyFill="1" applyBorder="1" applyAlignment="1">
      <alignment horizontal="center"/>
    </xf>
    <xf numFmtId="167" fontId="19" fillId="0" borderId="71" xfId="0" applyNumberFormat="1" applyFont="1" applyFill="1" applyBorder="1" applyAlignment="1">
      <alignment horizontal="center"/>
    </xf>
    <xf numFmtId="167" fontId="19" fillId="0" borderId="71" xfId="61" applyNumberFormat="1" applyFont="1" applyFill="1" applyBorder="1" applyAlignment="1">
      <alignment horizontal="center"/>
    </xf>
    <xf numFmtId="172" fontId="0" fillId="0" borderId="0" xfId="0" applyNumberFormat="1" applyBorder="1"/>
    <xf numFmtId="0" fontId="4" fillId="3" borderId="75" xfId="0" applyFont="1" applyFill="1" applyBorder="1" applyAlignment="1">
      <alignment horizontal="right" vertical="center" indent="1"/>
    </xf>
    <xf numFmtId="0" fontId="4" fillId="3" borderId="22" xfId="0" applyFont="1" applyFill="1" applyBorder="1" applyAlignment="1">
      <alignment horizontal="right" vertical="center" indent="1"/>
    </xf>
    <xf numFmtId="3" fontId="0" fillId="0" borderId="62" xfId="0" applyNumberFormat="1" applyBorder="1"/>
    <xf numFmtId="3" fontId="0" fillId="0" borderId="65" xfId="0" applyNumberFormat="1" applyBorder="1"/>
    <xf numFmtId="3" fontId="0" fillId="0" borderId="76" xfId="0" applyNumberFormat="1" applyBorder="1"/>
    <xf numFmtId="3" fontId="2" fillId="0" borderId="22" xfId="0" applyNumberFormat="1" applyFont="1" applyBorder="1"/>
    <xf numFmtId="3" fontId="0" fillId="0" borderId="64" xfId="0" applyNumberFormat="1" applyBorder="1"/>
    <xf numFmtId="3" fontId="0" fillId="0" borderId="77" xfId="0" applyNumberFormat="1" applyBorder="1"/>
    <xf numFmtId="172" fontId="0" fillId="0" borderId="62" xfId="0" applyNumberFormat="1" applyBorder="1"/>
    <xf numFmtId="172" fontId="0" fillId="0" borderId="65" xfId="0" applyNumberFormat="1" applyBorder="1"/>
    <xf numFmtId="4" fontId="0" fillId="0" borderId="76" xfId="0" applyNumberFormat="1" applyBorder="1"/>
    <xf numFmtId="172" fontId="2" fillId="0" borderId="22" xfId="0" applyNumberFormat="1" applyFont="1" applyBorder="1"/>
    <xf numFmtId="0" fontId="4" fillId="3" borderId="72" xfId="0" applyFont="1" applyFill="1" applyBorder="1" applyAlignment="1">
      <alignment horizontal="right" vertical="center" indent="1"/>
    </xf>
    <xf numFmtId="3" fontId="2" fillId="0" borderId="77" xfId="0" applyNumberFormat="1" applyFont="1" applyBorder="1"/>
    <xf numFmtId="1" fontId="8" fillId="0" borderId="0" xfId="0" applyNumberFormat="1" applyFont="1" applyAlignment="1">
      <alignment horizontal="center"/>
    </xf>
    <xf numFmtId="170" fontId="20" fillId="9" borderId="0" xfId="1" applyNumberFormat="1" applyFont="1" applyFill="1" applyBorder="1" applyAlignment="1">
      <alignment horizontal="right" vertical="top" wrapText="1"/>
    </xf>
    <xf numFmtId="0" fontId="29" fillId="0" borderId="11" xfId="0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6" fillId="0" borderId="14" xfId="0" applyFont="1" applyBorder="1" applyAlignment="1">
      <alignment horizontal="center"/>
    </xf>
  </cellXfs>
  <cellStyles count="811">
    <cellStyle name="Comma 2" xfId="100" xr:uid="{ABCD386B-7755-4A3C-B7A0-7E3F22B96362}"/>
    <cellStyle name="Comma 2 2" xfId="116" xr:uid="{A83C2198-9F59-4452-AD29-C771451FF343}"/>
    <cellStyle name="Comma 2 3" xfId="329" xr:uid="{2C54C18A-4887-4975-ADC9-FE1501210518}"/>
    <cellStyle name="Comma 2 3 2" xfId="673" xr:uid="{5D3B3E5F-39CA-4E1E-BC52-F6EAF557DDFD}"/>
    <cellStyle name="Comma 2 4" xfId="524" xr:uid="{4A8E9CC6-1F93-4961-AEF9-8556279680EA}"/>
    <cellStyle name="Comma 3" xfId="103" xr:uid="{7F10A7DF-BCF8-469D-8113-149EA0C0ED9D}"/>
    <cellStyle name="Comma 3 2" xfId="122" xr:uid="{8CCCE86D-F328-452C-B7FB-52C3395A298D}"/>
    <cellStyle name="Comma 3 3" xfId="331" xr:uid="{8FF3751E-A264-423A-A416-2B3494AB03D7}"/>
    <cellStyle name="Comma 3 3 2" xfId="675" xr:uid="{78EE6365-A8C7-4309-9261-C4CBDD8D6D85}"/>
    <cellStyle name="Comma 3 4" xfId="526" xr:uid="{93983229-582B-4146-B6E6-527DA1BC7FBB}"/>
    <cellStyle name="Ezres" xfId="1" builtinId="3"/>
    <cellStyle name="Ezres [0] 2" xfId="88" xr:uid="{8637FA64-C173-425C-A289-7A78D6D2CDCE}"/>
    <cellStyle name="Ezres 10" xfId="123" xr:uid="{2A2DA8C1-1DBD-4958-AA13-BF7847039177}"/>
    <cellStyle name="Ezres 10 2" xfId="341" xr:uid="{84AD1CBA-DC74-40F7-B0A9-0E15864CA145}"/>
    <cellStyle name="Ezres 10 2 2" xfId="685" xr:uid="{D15459C0-FBAE-4060-88EB-483E47B923CF}"/>
    <cellStyle name="Ezres 10 3" xfId="536" xr:uid="{5E873562-523D-4BC5-9AD7-4C9EDB9692FD}"/>
    <cellStyle name="Ezres 11" xfId="126" xr:uid="{3F80035D-9BC6-4CBF-B77E-F2189A4FD13D}"/>
    <cellStyle name="Ezres 11 2" xfId="342" xr:uid="{5854CB89-0C45-47B4-9706-1A4C0F0EC4B6}"/>
    <cellStyle name="Ezres 11 2 2" xfId="686" xr:uid="{292607BF-A135-4297-B785-1969A534E84C}"/>
    <cellStyle name="Ezres 11 3" xfId="537" xr:uid="{0EFF04A1-CB7C-48A1-AEE7-0E485951AA21}"/>
    <cellStyle name="Ezres 12" xfId="111" xr:uid="{0FE1A891-0B3D-4280-8C1E-4517CD5BE0F5}"/>
    <cellStyle name="Ezres 12 2" xfId="335" xr:uid="{2CC5A6E9-39B2-4205-949C-7F5E1448BF10}"/>
    <cellStyle name="Ezres 12 2 2" xfId="679" xr:uid="{F00AE8DF-A3ED-4E6A-A9CA-8DAE2DFB90D4}"/>
    <cellStyle name="Ezres 12 3" xfId="530" xr:uid="{03DB376E-2280-4BD2-84A0-DF0FDC954244}"/>
    <cellStyle name="Ezres 13" xfId="127" xr:uid="{55CBB30F-9C84-43B9-A9D5-60C1B061D927}"/>
    <cellStyle name="Ezres 13 2" xfId="343" xr:uid="{DDBFD491-69A5-4334-9E17-5ED43CE793F2}"/>
    <cellStyle name="Ezres 13 2 2" xfId="687" xr:uid="{D3FED2AF-134B-466A-A4DD-358D3C63411C}"/>
    <cellStyle name="Ezres 13 3" xfId="538" xr:uid="{A17E064A-DC64-41B8-9FBA-4D33F1C45F1C}"/>
    <cellStyle name="Ezres 14" xfId="113" xr:uid="{07AE1019-B179-4893-B995-D21F9D2FDE5C}"/>
    <cellStyle name="Ezres 14 2" xfId="336" xr:uid="{D137909E-3BA0-4576-92B6-13C44889D7DF}"/>
    <cellStyle name="Ezres 14 2 2" xfId="680" xr:uid="{3478FFB8-2B45-4E05-838B-9D440868A123}"/>
    <cellStyle name="Ezres 14 3" xfId="531" xr:uid="{2B515C31-B90D-41B7-80A8-31EFE0ADEEFB}"/>
    <cellStyle name="Ezres 15" xfId="120" xr:uid="{72F6954F-323B-463F-9FEF-8065BE17E700}"/>
    <cellStyle name="Ezres 15 2" xfId="340" xr:uid="{9F4C617E-D9F1-46A7-AB3E-3B01EF40B5D5}"/>
    <cellStyle name="Ezres 15 2 2" xfId="684" xr:uid="{391BF01D-6554-412E-BB4A-0752C4287578}"/>
    <cellStyle name="Ezres 15 3" xfId="535" xr:uid="{18017227-B493-4579-8143-3E9FA1F88421}"/>
    <cellStyle name="Ezres 15 3 2" xfId="26" xr:uid="{A4832EDB-577A-4ABE-A7A7-199DDA02CE18}"/>
    <cellStyle name="Ezres 15 3 2 2" xfId="43" xr:uid="{8ADA8E50-5FFA-4B35-9544-521038FEAEF8}"/>
    <cellStyle name="Ezres 16" xfId="128" xr:uid="{95402BE8-32FC-4F1F-95BB-DA904E1771AD}"/>
    <cellStyle name="Ezres 16 2" xfId="344" xr:uid="{771A29AF-CF5B-4880-A245-640C5FAFD8CE}"/>
    <cellStyle name="Ezres 16 2 2" xfId="688" xr:uid="{3B8A5DAD-FBC2-491E-8B59-42D12B72F54E}"/>
    <cellStyle name="Ezres 16 3" xfId="539" xr:uid="{CBB50234-08C0-4935-8486-BEF2DA3B08DD}"/>
    <cellStyle name="Ezres 17" xfId="129" xr:uid="{E5DB1748-AFED-475B-AADE-E481E89CC5F2}"/>
    <cellStyle name="Ezres 17 2" xfId="345" xr:uid="{31D3C7A7-D57D-4420-9467-5E3E4AD87271}"/>
    <cellStyle name="Ezres 17 2 2" xfId="689" xr:uid="{1E54D8A9-4860-43F8-A0F8-C73DC45BA898}"/>
    <cellStyle name="Ezres 17 3" xfId="540" xr:uid="{56E56DDB-7137-44C3-BF27-DFD56884A2F7}"/>
    <cellStyle name="Ezres 18" xfId="130" xr:uid="{7E44F1A7-2CB6-41EF-A571-36D7013AF4FD}"/>
    <cellStyle name="Ezres 18 2" xfId="346" xr:uid="{71EC9ACD-D863-4E44-88F6-60D807AF43DB}"/>
    <cellStyle name="Ezres 18 2 2" xfId="690" xr:uid="{3F2A6E4B-5EC9-4D89-B77B-7E115FEB493D}"/>
    <cellStyle name="Ezres 18 3" xfId="541" xr:uid="{6F073BFD-899F-4C37-B06F-A9274853F1D8}"/>
    <cellStyle name="Ezres 19" xfId="142" xr:uid="{A6092AB9-D354-4AA9-9EAF-1E9D36C6FC13}"/>
    <cellStyle name="Ezres 19 2" xfId="348" xr:uid="{14EE5924-693A-4816-9B2B-891AD7B884BE}"/>
    <cellStyle name="Ezres 19 2 2" xfId="692" xr:uid="{88BBF3A5-F84E-4F8C-A5F3-220CE75FD7D7}"/>
    <cellStyle name="Ezres 19 3" xfId="543" xr:uid="{F1ED3A82-F2CD-45ED-A6B1-3C468F80C2D8}"/>
    <cellStyle name="Ezres 2" xfId="9" xr:uid="{FD3565E6-62E9-4DCC-B33E-77FABAE781B3}"/>
    <cellStyle name="Ezres 2 10" xfId="67" xr:uid="{AB691E6F-762C-4F9E-BA08-04502142D5FE}"/>
    <cellStyle name="Ezres 2 2" xfId="13" xr:uid="{80E2AA8C-7663-4E4F-BF16-50EDA40F3220}"/>
    <cellStyle name="Ezres 2 2 2" xfId="45" xr:uid="{480C13B7-F76C-4B32-9E6B-F82AA2AE8486}"/>
    <cellStyle name="Ezres 2 2 2 2" xfId="337" xr:uid="{C282BED8-B9C0-4806-96F7-064CB69D4D02}"/>
    <cellStyle name="Ezres 2 2 2 2 2" xfId="681" xr:uid="{C561A584-96EA-4C22-96B1-78657F60CB83}"/>
    <cellStyle name="Ezres 2 2 2 3" xfId="532" xr:uid="{7CB2B542-D260-4146-AF81-9C4876831013}"/>
    <cellStyle name="Ezres 2 2 2 4" xfId="117" xr:uid="{B21F4327-5C19-42CC-AAD1-72FBC4B7F6D1}"/>
    <cellStyle name="Ezres 2 2 3" xfId="493" xr:uid="{B782E0B4-9FB3-4008-83A5-90FC6489A2BB}"/>
    <cellStyle name="Ezres 2 2 4" xfId="89" xr:uid="{5B157E69-49F4-4AFA-A4AC-A6C3ACC785CB}"/>
    <cellStyle name="Ezres 2 3" xfId="18" xr:uid="{F2FA567E-A1B0-4018-8AC6-7DB6953B166B}"/>
    <cellStyle name="Ezres 2 3 2" xfId="124" xr:uid="{A4501A1A-927F-48E4-BFE4-0B159789859D}"/>
    <cellStyle name="Ezres 2 3 3" xfId="85" xr:uid="{74AD6EBF-6E7B-42D9-A135-859217143C05}"/>
    <cellStyle name="Ezres 2 4" xfId="20" xr:uid="{24023BDA-49A9-46A1-9918-D88123D8236C}"/>
    <cellStyle name="Ezres 2 4 2" xfId="137" xr:uid="{6627C4C8-EF1C-47A0-93CE-499825E7FBDE}"/>
    <cellStyle name="Ezres 2 5" xfId="34" xr:uid="{EC4A9B1A-3478-4A22-B0A0-BFBE25888DFD}"/>
    <cellStyle name="Ezres 2 5 2" xfId="77" xr:uid="{216B159A-5E5C-4D66-A76B-53BA71D42D64}"/>
    <cellStyle name="Ezres 2 6" xfId="57" xr:uid="{1F635F7D-6AD1-4261-A723-7DCDC55CC569}"/>
    <cellStyle name="Ezres 2 6 2" xfId="279" xr:uid="{E20E5151-873C-4FE1-871A-70E1A0555EFF}"/>
    <cellStyle name="Ezres 2 7" xfId="316" xr:uid="{1F0D72FB-714B-4AE4-9106-8B5E777DFE5F}"/>
    <cellStyle name="Ezres 2 7 2" xfId="659" xr:uid="{65E6644C-5CED-4AFE-8241-61675016BBC6}"/>
    <cellStyle name="Ezres 2 8" xfId="473" xr:uid="{4A66BC5E-3B9D-49F3-9F14-AD2B9DD19908}"/>
    <cellStyle name="Ezres 2 8 2" xfId="509" xr:uid="{F915CE17-A5B0-4F5E-A90F-D71162A09BA4}"/>
    <cellStyle name="Ezres 2 9" xfId="502" xr:uid="{FA432CBF-E7A7-4EC5-9E3D-208ABE676E4A}"/>
    <cellStyle name="Ezres 20" xfId="144" xr:uid="{34F8DEC4-9D5C-4F6C-B050-92AA4D4E2282}"/>
    <cellStyle name="Ezres 20 2" xfId="350" xr:uid="{D443F87B-2AEC-45A1-BAA8-282360FC4081}"/>
    <cellStyle name="Ezres 20 2 2" xfId="694" xr:uid="{DCFAB427-C82B-4B16-8F74-E09B73C7192F}"/>
    <cellStyle name="Ezres 20 3" xfId="545" xr:uid="{7EEB9F79-6121-41F5-ABC2-7DE19E8ABA89}"/>
    <cellStyle name="Ezres 21" xfId="145" xr:uid="{53575D7F-71D4-40FF-81D5-B34D8625C2C8}"/>
    <cellStyle name="Ezres 21 2" xfId="351" xr:uid="{4AC28495-61D2-4578-AC5D-EEEE70C6B0BF}"/>
    <cellStyle name="Ezres 21 2 2" xfId="695" xr:uid="{28554FEB-4BC4-4CCD-8973-B4F7362D979E}"/>
    <cellStyle name="Ezres 21 3" xfId="546" xr:uid="{706B8594-A15F-4B77-AB5F-6E342939A1AA}"/>
    <cellStyle name="Ezres 22" xfId="147" xr:uid="{252FC212-5396-4590-99E6-0F313419F1C4}"/>
    <cellStyle name="Ezres 22 2" xfId="352" xr:uid="{5F722F46-5D13-4349-858A-BB4EDB0CFE4B}"/>
    <cellStyle name="Ezres 22 2 2" xfId="696" xr:uid="{1D421B5B-5EB5-4E10-989F-D98AD38F4E16}"/>
    <cellStyle name="Ezres 22 3" xfId="547" xr:uid="{F8AFA64E-E11E-43FE-A03B-2AEBB076CBA5}"/>
    <cellStyle name="Ezres 23" xfId="143" xr:uid="{FB08CAFC-1DDA-4E49-916A-909E84B6A73C}"/>
    <cellStyle name="Ezres 23 2" xfId="349" xr:uid="{C438D07B-9546-4B62-B838-FACC0C79E858}"/>
    <cellStyle name="Ezres 23 2 2" xfId="693" xr:uid="{862D0718-841B-4103-9DA7-25D1A5488FC0}"/>
    <cellStyle name="Ezres 23 3" xfId="544" xr:uid="{7E304C55-D9E8-4FDC-BB82-D55D13A5F843}"/>
    <cellStyle name="Ezres 24" xfId="133" xr:uid="{24A01CCE-F9AD-4119-A3A0-6CF74CBE5BCE}"/>
    <cellStyle name="Ezres 24 2" xfId="347" xr:uid="{FA393807-7805-4160-9140-3228E4C2AFB1}"/>
    <cellStyle name="Ezres 24 2 2" xfId="691" xr:uid="{44469421-30D9-41DA-BD94-11167E4B5746}"/>
    <cellStyle name="Ezres 24 3" xfId="542" xr:uid="{E4FF0296-D7FD-49DA-8048-BBA8892A0E15}"/>
    <cellStyle name="Ezres 25" xfId="154" xr:uid="{17F7F39F-37B7-41C9-9E57-F51E1E6DAB29}"/>
    <cellStyle name="Ezres 25 2" xfId="354" xr:uid="{F9E0533A-3F69-41F5-AB01-27204C9858CD}"/>
    <cellStyle name="Ezres 25 2 2" xfId="698" xr:uid="{257EA92B-E62A-4C92-AF57-A41CADD3D9AB}"/>
    <cellStyle name="Ezres 25 3" xfId="549" xr:uid="{6AD5DA4F-3796-4849-B160-05CA49CCB1B7}"/>
    <cellStyle name="Ezres 26" xfId="159" xr:uid="{D3CA05CB-1798-4BE2-8396-759D5EBE703A}"/>
    <cellStyle name="Ezres 26 2" xfId="176" xr:uid="{6AC59648-481B-4798-9F98-ED6A9CF60A53}"/>
    <cellStyle name="Ezres 26 2 2" xfId="213" xr:uid="{A3CA3FE5-F1E0-46D0-AD93-9F82B7D82C0F}"/>
    <cellStyle name="Ezres 26 2 2 2" xfId="258" xr:uid="{770B2438-26CE-45AE-A62E-C8AD55B22935}"/>
    <cellStyle name="Ezres 26 2 2 2 2" xfId="429" xr:uid="{45762B0E-CDB0-4675-8DE9-3C7C5B5A1EC1}"/>
    <cellStyle name="Ezres 26 2 2 2 2 2" xfId="773" xr:uid="{2FB7E773-7284-4D63-B9AA-6F5CFEEE86B3}"/>
    <cellStyle name="Ezres 26 2 2 2 3" xfId="625" xr:uid="{EB0789A7-5AEF-41A4-9320-E6FC4B06A6D7}"/>
    <cellStyle name="Ezres 26 2 2 3" xfId="392" xr:uid="{392F5C5E-5154-4272-9779-F11671654ED1}"/>
    <cellStyle name="Ezres 26 2 2 3 2" xfId="736" xr:uid="{2812069D-0326-4E17-A4FC-728D4D4CC57A}"/>
    <cellStyle name="Ezres 26 2 2 4" xfId="588" xr:uid="{E4F7DEE1-D224-4B41-A362-90B0BB2D4FC1}"/>
    <cellStyle name="Ezres 26 2 3" xfId="236" xr:uid="{1128F651-3858-4317-88B2-84BFCB1A0D9C}"/>
    <cellStyle name="Ezres 26 2 3 2" xfId="410" xr:uid="{26B0D286-1FC6-4CEC-A9BF-F92F151C97DD}"/>
    <cellStyle name="Ezres 26 2 3 2 2" xfId="754" xr:uid="{D3A2EE3F-6564-43F7-8A39-E13B64607109}"/>
    <cellStyle name="Ezres 26 2 3 3" xfId="606" xr:uid="{2D980909-9921-4F40-9441-CF4565CEEF18}"/>
    <cellStyle name="Ezres 26 2 4" xfId="369" xr:uid="{9C3A2C08-79DC-4BDA-8D59-8967621D0658}"/>
    <cellStyle name="Ezres 26 2 4 2" xfId="713" xr:uid="{A6C85666-B489-468C-A381-BF86C94DCAFD}"/>
    <cellStyle name="Ezres 26 2 5" xfId="564" xr:uid="{5A7F7B38-28C6-4A61-A1EF-CD9CBF587C20}"/>
    <cellStyle name="Ezres 26 3" xfId="201" xr:uid="{827B6CF9-BFB5-48C7-BA70-90D4931AB80F}"/>
    <cellStyle name="Ezres 26 3 2" xfId="247" xr:uid="{E66CE056-792C-4C55-BA10-9BA3DBE395CE}"/>
    <cellStyle name="Ezres 26 3 2 2" xfId="419" xr:uid="{5464D991-36CF-4598-B257-20148DE6724B}"/>
    <cellStyle name="Ezres 26 3 2 2 2" xfId="763" xr:uid="{359B9F3B-717C-4319-8180-31ADEBBE3595}"/>
    <cellStyle name="Ezres 26 3 2 3" xfId="615" xr:uid="{1D763554-1C68-40D9-BA97-735AAA8D78DF}"/>
    <cellStyle name="Ezres 26 3 3" xfId="382" xr:uid="{E4AC273D-4C0A-4591-98DA-2D93E2FB160F}"/>
    <cellStyle name="Ezres 26 3 3 2" xfId="726" xr:uid="{CA5CDC82-2C72-4577-8609-1CA82123AE99}"/>
    <cellStyle name="Ezres 26 3 4" xfId="578" xr:uid="{EC835D57-B0F0-4AA5-B6CF-2C4E2003304D}"/>
    <cellStyle name="Ezres 26 4" xfId="226" xr:uid="{C841D319-12B8-427F-8F14-612262B9FD05}"/>
    <cellStyle name="Ezres 26 4 2" xfId="401" xr:uid="{F57DBB8F-2FEE-463D-AE42-60AC851B3A8A}"/>
    <cellStyle name="Ezres 26 4 2 2" xfId="745" xr:uid="{F83EA640-40E9-48B6-B3DB-AA676FFF82DC}"/>
    <cellStyle name="Ezres 26 4 3" xfId="597" xr:uid="{1CBB1D81-3274-47C1-9DF4-54B41E0B1726}"/>
    <cellStyle name="Ezres 26 5" xfId="357" xr:uid="{007E5F39-9DD7-455F-B459-F12C403EF6B8}"/>
    <cellStyle name="Ezres 26 5 2" xfId="701" xr:uid="{EA4404D9-DCFA-4CB3-9C2D-BA6ADFF42A7F}"/>
    <cellStyle name="Ezres 26 6" xfId="552" xr:uid="{525F493F-92F3-4470-8617-74DCC6C655A2}"/>
    <cellStyle name="Ezres 27" xfId="160" xr:uid="{E803C121-8AEB-41D8-9505-089B092CA6F7}"/>
    <cellStyle name="Ezres 27 2" xfId="177" xr:uid="{9D03FBE6-FA3E-47A8-B4D2-CA98865FD3CE}"/>
    <cellStyle name="Ezres 27 2 2" xfId="214" xr:uid="{5708A913-021C-40D7-A3C7-DEDF8ECADF84}"/>
    <cellStyle name="Ezres 27 2 2 2" xfId="259" xr:uid="{B4924F50-61CA-4802-9FB2-8201C21CE305}"/>
    <cellStyle name="Ezres 27 2 2 2 2" xfId="430" xr:uid="{77D74FCF-83FE-49C6-9E43-F0F92A629960}"/>
    <cellStyle name="Ezres 27 2 2 2 2 2" xfId="774" xr:uid="{33EA247B-6F5D-421E-81A9-407DADEB19FB}"/>
    <cellStyle name="Ezres 27 2 2 2 3" xfId="626" xr:uid="{8FEFB7BE-0BAA-442B-9380-FA77DDF3178B}"/>
    <cellStyle name="Ezres 27 2 2 3" xfId="393" xr:uid="{15F4400A-F712-439D-9423-EA07C17D7EAF}"/>
    <cellStyle name="Ezres 27 2 2 3 2" xfId="737" xr:uid="{7E6D1D33-4CAC-4FC0-8A59-19D79B804811}"/>
    <cellStyle name="Ezres 27 2 2 4" xfId="589" xr:uid="{7F1DE05C-7F13-43CE-9CE3-FEBB3B832F86}"/>
    <cellStyle name="Ezres 27 2 3" xfId="237" xr:uid="{86C25968-280F-4669-B1C3-93B457DAC7F5}"/>
    <cellStyle name="Ezres 27 2 3 2" xfId="411" xr:uid="{2255D462-AE9A-4FE8-9A31-A44AF95A21D0}"/>
    <cellStyle name="Ezres 27 2 3 2 2" xfId="755" xr:uid="{1772F4D7-1611-492A-9F39-570C4E1E6112}"/>
    <cellStyle name="Ezres 27 2 3 3" xfId="607" xr:uid="{8AE8FD06-2CC7-4207-ADA3-A22148D2F3C9}"/>
    <cellStyle name="Ezres 27 2 4" xfId="370" xr:uid="{A68BF343-909A-43CA-A69D-D5A696601C8B}"/>
    <cellStyle name="Ezres 27 2 4 2" xfId="714" xr:uid="{BAF9893D-293F-4FEB-B6C9-0D0AF064AF82}"/>
    <cellStyle name="Ezres 27 2 5" xfId="565" xr:uid="{E28207CF-4D43-40EA-9A86-CB9D121557F7}"/>
    <cellStyle name="Ezres 27 3" xfId="202" xr:uid="{7324B74D-6DA3-4CA9-8EF1-C91621F6CFB0}"/>
    <cellStyle name="Ezres 27 3 2" xfId="248" xr:uid="{F6AE8161-2A59-4AD2-AC37-1339B33AAD8D}"/>
    <cellStyle name="Ezres 27 3 2 2" xfId="420" xr:uid="{5F5DE725-983A-4D91-A644-4EE178DCB937}"/>
    <cellStyle name="Ezres 27 3 2 2 2" xfId="764" xr:uid="{1D677FDC-805C-4526-8597-382D48879660}"/>
    <cellStyle name="Ezres 27 3 2 3" xfId="616" xr:uid="{786A82FC-1340-47B0-9374-D2999D3362F7}"/>
    <cellStyle name="Ezres 27 3 3" xfId="383" xr:uid="{E243E993-DF82-4554-A293-E0D681A08F5D}"/>
    <cellStyle name="Ezres 27 3 3 2" xfId="727" xr:uid="{FEC64212-7719-4781-9D8F-2ED81CB51D3B}"/>
    <cellStyle name="Ezres 27 3 4" xfId="579" xr:uid="{37543DB0-C6CF-4875-9DB6-DBA00B939297}"/>
    <cellStyle name="Ezres 27 4" xfId="227" xr:uid="{65A19141-E21E-404F-AEFA-0FD5F62C4517}"/>
    <cellStyle name="Ezres 27 4 2" xfId="402" xr:uid="{FC57A319-1B33-43F6-B126-6BDCA2F93690}"/>
    <cellStyle name="Ezres 27 4 2 2" xfId="746" xr:uid="{C0882C07-8A82-42F0-B7E7-683F0025F428}"/>
    <cellStyle name="Ezres 27 4 3" xfId="598" xr:uid="{4A7288DC-C563-4840-8965-DEDF53DFAD0E}"/>
    <cellStyle name="Ezres 27 5" xfId="358" xr:uid="{4EA48B3A-C8C4-41C3-A22E-5E2944F7088D}"/>
    <cellStyle name="Ezres 27 5 2" xfId="702" xr:uid="{CD9276D2-8F50-4CDF-A234-FBD7EC0B54D8}"/>
    <cellStyle name="Ezres 27 6" xfId="553" xr:uid="{888B2E44-DBCB-4827-BFF7-5CA6ED05B739}"/>
    <cellStyle name="Ezres 28" xfId="161" xr:uid="{E7BDA9B6-700C-4E2E-9487-AD1183E54FC1}"/>
    <cellStyle name="Ezres 28 2" xfId="178" xr:uid="{E2C4631E-297A-4255-8D37-C4AA29A78B1B}"/>
    <cellStyle name="Ezres 28 2 2" xfId="215" xr:uid="{DD57C5A4-3654-4B2D-8CAA-C6F2EB5616C8}"/>
    <cellStyle name="Ezres 28 2 2 2" xfId="260" xr:uid="{906715D1-0B77-44AC-BB89-CB7ACA8E5DEC}"/>
    <cellStyle name="Ezres 28 2 2 2 2" xfId="431" xr:uid="{677F8D5F-6CF1-4AAD-AB23-087BC2489ECB}"/>
    <cellStyle name="Ezres 28 2 2 2 2 2" xfId="775" xr:uid="{D337E5F2-5176-4A63-97F3-6C873B47A92F}"/>
    <cellStyle name="Ezres 28 2 2 2 3" xfId="627" xr:uid="{9279C8A7-6698-4BD6-946E-57BF77B9FE69}"/>
    <cellStyle name="Ezres 28 2 2 3" xfId="394" xr:uid="{EE781D57-1789-4388-BD2B-04F36FEFA145}"/>
    <cellStyle name="Ezres 28 2 2 3 2" xfId="738" xr:uid="{A295F6FC-E351-4252-8B67-8BD7AA841708}"/>
    <cellStyle name="Ezres 28 2 2 4" xfId="590" xr:uid="{A72335CD-3590-4522-992D-D6A7EA83E30B}"/>
    <cellStyle name="Ezres 28 2 3" xfId="238" xr:uid="{E55CCCF7-619E-4394-A2BE-191377AA0A4C}"/>
    <cellStyle name="Ezres 28 2 3 2" xfId="412" xr:uid="{CB6C2A11-4DD7-48D7-8287-CAC93436C434}"/>
    <cellStyle name="Ezres 28 2 3 2 2" xfId="756" xr:uid="{000254DC-278B-4F17-8069-B7F5F7842716}"/>
    <cellStyle name="Ezres 28 2 3 3" xfId="608" xr:uid="{84FA8834-2C35-4607-87F5-97520F0B6433}"/>
    <cellStyle name="Ezres 28 2 4" xfId="371" xr:uid="{8FA9DD19-1AC4-42F1-9CFC-852F537DDF37}"/>
    <cellStyle name="Ezres 28 2 4 2" xfId="715" xr:uid="{9FC1B113-E17C-4DE7-98C7-0D13A5FA9267}"/>
    <cellStyle name="Ezres 28 2 5" xfId="566" xr:uid="{3F12A25A-9911-4154-B938-720A7A44CFAF}"/>
    <cellStyle name="Ezres 28 3" xfId="203" xr:uid="{AD642EF1-2104-4FBB-8CA8-CA41EFAFA1D2}"/>
    <cellStyle name="Ezres 28 3 2" xfId="249" xr:uid="{4AF0DC65-2456-4190-9061-8E6451A324E0}"/>
    <cellStyle name="Ezres 28 3 2 2" xfId="421" xr:uid="{CA1147F7-E23B-412F-B0DD-13BC61E23BCD}"/>
    <cellStyle name="Ezres 28 3 2 2 2" xfId="765" xr:uid="{210CDF7E-C837-439B-8070-3B101F19A43F}"/>
    <cellStyle name="Ezres 28 3 2 3" xfId="617" xr:uid="{663DDDE9-7CA7-424B-87BF-2A2DE6B12FDB}"/>
    <cellStyle name="Ezres 28 3 3" xfId="384" xr:uid="{AEB28F81-6D98-4AA7-BD27-C926C8475F90}"/>
    <cellStyle name="Ezres 28 3 3 2" xfId="728" xr:uid="{27FB90B9-7C99-4BB3-A663-9D0B0EB0C765}"/>
    <cellStyle name="Ezres 28 3 4" xfId="580" xr:uid="{8E529058-80AB-4C21-8367-8C14F62C6EC5}"/>
    <cellStyle name="Ezres 28 4" xfId="228" xr:uid="{9F6F1487-41C4-4DAE-90CC-3A050CF0AEBC}"/>
    <cellStyle name="Ezres 28 4 2" xfId="403" xr:uid="{773CC4D2-C23F-426F-B6C2-AA550ECD6935}"/>
    <cellStyle name="Ezres 28 4 2 2" xfId="747" xr:uid="{AB23B8F9-0A21-482A-B3C8-9CA2F3011960}"/>
    <cellStyle name="Ezres 28 4 3" xfId="599" xr:uid="{8B27E07A-7D54-4155-BE41-D125A6694B86}"/>
    <cellStyle name="Ezres 28 5" xfId="359" xr:uid="{BC69ED90-6D25-494E-ABC0-C7FE46DFBF7C}"/>
    <cellStyle name="Ezres 28 5 2" xfId="703" xr:uid="{FB403594-359A-4BCA-8316-60A1664C9767}"/>
    <cellStyle name="Ezres 28 6" xfId="554" xr:uid="{E1416156-ED11-4801-8104-B92BBF005588}"/>
    <cellStyle name="Ezres 29" xfId="162" xr:uid="{56EECAF3-DCD4-4684-8478-CB3900D12CDB}"/>
    <cellStyle name="Ezres 29 2" xfId="179" xr:uid="{F471270A-0FF5-4A32-9DBA-40493DA79748}"/>
    <cellStyle name="Ezres 29 2 2" xfId="216" xr:uid="{2CD8F596-1493-4DC3-B8F6-D59EE11E6A5D}"/>
    <cellStyle name="Ezres 29 2 2 2" xfId="261" xr:uid="{30F7C398-3B56-4659-9F4D-77F5BC6C3D6C}"/>
    <cellStyle name="Ezres 29 2 2 2 2" xfId="432" xr:uid="{36750722-5B86-434C-AFC6-9D1AB81B90CD}"/>
    <cellStyle name="Ezres 29 2 2 2 2 2" xfId="776" xr:uid="{D814F6ED-9596-4803-8DD4-1A33E548B534}"/>
    <cellStyle name="Ezres 29 2 2 2 3" xfId="628" xr:uid="{3B050E9C-A835-4D87-A184-F2FD0E8F11ED}"/>
    <cellStyle name="Ezres 29 2 2 3" xfId="395" xr:uid="{D8373EEB-802E-4509-AFB2-BC46770A8D13}"/>
    <cellStyle name="Ezres 29 2 2 3 2" xfId="739" xr:uid="{5075A644-D928-444D-B274-F957A0F4C47A}"/>
    <cellStyle name="Ezres 29 2 2 4" xfId="591" xr:uid="{80A681C4-BDA7-4B34-B57D-8A194BC58932}"/>
    <cellStyle name="Ezres 29 2 3" xfId="239" xr:uid="{E468BA66-E1D9-4A73-AC3B-26F4E1E53307}"/>
    <cellStyle name="Ezres 29 2 3 2" xfId="413" xr:uid="{D8EE1A12-BE55-4F4A-A012-9B96DC8DEB0D}"/>
    <cellStyle name="Ezres 29 2 3 2 2" xfId="757" xr:uid="{AD514081-6284-43D6-894B-FDA950AD8C8C}"/>
    <cellStyle name="Ezres 29 2 3 3" xfId="609" xr:uid="{F2F21879-9077-4B8C-8B82-664527072B8F}"/>
    <cellStyle name="Ezres 29 2 4" xfId="372" xr:uid="{DD66EAF8-B0B4-4661-9EFF-0D266CD0C4CA}"/>
    <cellStyle name="Ezres 29 2 4 2" xfId="716" xr:uid="{E685AFAB-BD95-42F0-878B-A479CE64CC10}"/>
    <cellStyle name="Ezres 29 2 5" xfId="567" xr:uid="{6A21C3D7-A28B-40E8-8591-D6BC68AE15EC}"/>
    <cellStyle name="Ezres 29 3" xfId="204" xr:uid="{D8B36375-06DC-4E23-BBE1-331F6431731A}"/>
    <cellStyle name="Ezres 29 3 2" xfId="250" xr:uid="{4EFD9C1D-C38D-4411-9C75-68C5BEB24118}"/>
    <cellStyle name="Ezres 29 3 2 2" xfId="422" xr:uid="{97312CE9-F7A3-4135-8091-6B002553C811}"/>
    <cellStyle name="Ezres 29 3 2 2 2" xfId="766" xr:uid="{BD4A9D8B-3BAD-4BF6-AA88-F39B15C269DF}"/>
    <cellStyle name="Ezres 29 3 2 3" xfId="618" xr:uid="{16C6DC64-A005-46BC-ADC5-CF208CC5D09B}"/>
    <cellStyle name="Ezres 29 3 3" xfId="385" xr:uid="{5B84DA45-D636-44ED-ADDA-3DE8B01BA7B0}"/>
    <cellStyle name="Ezres 29 3 3 2" xfId="729" xr:uid="{A1BFF5B5-AA26-4046-A466-5D8EA779027C}"/>
    <cellStyle name="Ezres 29 3 4" xfId="581" xr:uid="{CC7AD859-AFD7-40F9-82A3-54F287ADB1CB}"/>
    <cellStyle name="Ezres 29 4" xfId="229" xr:uid="{903D3559-3F2F-4C14-801D-DBC9F8726B4B}"/>
    <cellStyle name="Ezres 29 4 2" xfId="404" xr:uid="{AE0B8F38-D3F9-43D8-B69B-86CC55B61D43}"/>
    <cellStyle name="Ezres 29 4 2 2" xfId="748" xr:uid="{7D9A87FC-F6E8-4006-8497-E660E895A1A2}"/>
    <cellStyle name="Ezres 29 4 3" xfId="600" xr:uid="{12BE8216-7DC9-4521-99A6-547D10D595C8}"/>
    <cellStyle name="Ezres 29 5" xfId="360" xr:uid="{B3CC8DF8-5841-4935-BD71-3A1B2DBB2C96}"/>
    <cellStyle name="Ezres 29 5 2" xfId="704" xr:uid="{2E059018-7524-4D39-9DFD-EA2739794556}"/>
    <cellStyle name="Ezres 29 6" xfId="555" xr:uid="{4EABD7BB-5A52-461D-A042-A3BDDCDB02F2}"/>
    <cellStyle name="Ezres 3" xfId="7" xr:uid="{24660899-AEF3-4DA4-9711-C8AD3F5F519F}"/>
    <cellStyle name="Ezres 3 10" xfId="65" xr:uid="{B5984282-0683-4CD8-8CA0-D16DF6C16CAB}"/>
    <cellStyle name="Ezres 3 2" xfId="50" xr:uid="{468E15E6-6004-4DA6-8A69-CE693CD0CD44}"/>
    <cellStyle name="Ezres 3 2 2" xfId="175" xr:uid="{3FE9AD0F-B973-46D8-AC09-BE882E848D2D}"/>
    <cellStyle name="Ezres 3 2 2 2" xfId="212" xr:uid="{7C98D3D4-F722-4B29-997A-E6E07D7FE034}"/>
    <cellStyle name="Ezres 3 2 2 2 2" xfId="257" xr:uid="{9C6F5C33-6A80-409D-8CBF-82755CDD965A}"/>
    <cellStyle name="Ezres 3 2 2 2 2 2" xfId="428" xr:uid="{1B84D162-2E95-4107-BDA8-CD92ECEC2CBB}"/>
    <cellStyle name="Ezres 3 2 2 2 2 2 2" xfId="772" xr:uid="{46EBBC4A-A87A-4244-BB28-ED6BFB7E4358}"/>
    <cellStyle name="Ezres 3 2 2 2 2 3" xfId="624" xr:uid="{E81EC1A6-6D72-4F09-801D-9268C5E6C742}"/>
    <cellStyle name="Ezres 3 2 2 2 3" xfId="391" xr:uid="{0CF46A1D-0BD8-452F-8DB3-011BABCE5C38}"/>
    <cellStyle name="Ezres 3 2 2 2 3 2" xfId="735" xr:uid="{710ADD5B-7627-4274-88C3-A60A5D54BA51}"/>
    <cellStyle name="Ezres 3 2 2 2 4" xfId="587" xr:uid="{0536C451-FDC7-42E3-8E5A-B8A35EEC2DAF}"/>
    <cellStyle name="Ezres 3 2 2 3" xfId="235" xr:uid="{EAE5C559-5407-46BC-AAD7-57A986718A61}"/>
    <cellStyle name="Ezres 3 2 2 3 2" xfId="409" xr:uid="{C4C0F69F-B5F1-436B-AA1D-83CCF137096A}"/>
    <cellStyle name="Ezres 3 2 2 3 2 2" xfId="753" xr:uid="{ED12A8FB-E882-4938-B0D6-9F92E63C53F5}"/>
    <cellStyle name="Ezres 3 2 2 3 3" xfId="605" xr:uid="{9E077E04-2E9A-49AE-BEE9-ABA3DA4306DF}"/>
    <cellStyle name="Ezres 3 2 2 4" xfId="368" xr:uid="{828BE1BB-32C3-4C6F-8926-363AE1AC57D6}"/>
    <cellStyle name="Ezres 3 2 2 4 2" xfId="712" xr:uid="{059D716F-84DB-4C22-B42D-A897D1243544}"/>
    <cellStyle name="Ezres 3 2 2 5" xfId="563" xr:uid="{78D5BC00-2576-4E1D-94CB-24741D84B8E2}"/>
    <cellStyle name="Ezres 3 2 3" xfId="200" xr:uid="{C38442CE-86B9-4E77-B010-AC30EF35AC7E}"/>
    <cellStyle name="Ezres 3 2 3 2" xfId="246" xr:uid="{BFE6C510-C2EA-49F5-A1D8-B841DE9AF2B8}"/>
    <cellStyle name="Ezres 3 2 3 2 2" xfId="418" xr:uid="{93AFDDF5-2648-4A81-93E6-EDC95C3BCA00}"/>
    <cellStyle name="Ezres 3 2 3 2 2 2" xfId="762" xr:uid="{CF804E99-53F2-43A3-BCEF-492C65D90468}"/>
    <cellStyle name="Ezres 3 2 3 2 3" xfId="614" xr:uid="{BFBB2767-D209-40AC-9A6A-58F1271CC4EC}"/>
    <cellStyle name="Ezres 3 2 3 3" xfId="381" xr:uid="{3C9D1916-96D3-41D9-9E92-BE34A4DABB03}"/>
    <cellStyle name="Ezres 3 2 3 3 2" xfId="725" xr:uid="{75CA09D7-CA96-46B9-8414-D81893EC087C}"/>
    <cellStyle name="Ezres 3 2 3 4" xfId="577" xr:uid="{DFB67332-71FC-474F-9D77-30740D853607}"/>
    <cellStyle name="Ezres 3 2 4" xfId="225" xr:uid="{8207497C-3DB0-44BB-BD4C-838E54502565}"/>
    <cellStyle name="Ezres 3 2 4 2" xfId="400" xr:uid="{DCDBD2B0-0F2B-47B3-AF61-DD7AF1CDE02A}"/>
    <cellStyle name="Ezres 3 2 4 2 2" xfId="744" xr:uid="{5BB7C9CA-9CF3-4B05-9B1F-5CFF4B1EA0B2}"/>
    <cellStyle name="Ezres 3 2 4 3" xfId="596" xr:uid="{01D6749D-7DF1-4618-B2E2-DAED44ED1882}"/>
    <cellStyle name="Ezres 3 2 5" xfId="355" xr:uid="{360FDBAC-D3F5-4D06-A43F-1066002EBD2F}"/>
    <cellStyle name="Ezres 3 2 5 2" xfId="699" xr:uid="{D8EEDC41-971D-432D-8699-1F5998927A82}"/>
    <cellStyle name="Ezres 3 2 6" xfId="550" xr:uid="{39D2F784-F42D-4E8B-A8FF-E11A96C824EB}"/>
    <cellStyle name="Ezres 3 2 7" xfId="155" xr:uid="{AB7BDBFC-378D-4B65-8210-518E6BF0C168}"/>
    <cellStyle name="Ezres 3 3" xfId="42" xr:uid="{973C6D82-64B3-4F09-88C8-F0128B0731A2}"/>
    <cellStyle name="Ezres 3 3 2" xfId="208" xr:uid="{FF2F7E26-37B0-447D-A033-68FF961CE5EE}"/>
    <cellStyle name="Ezres 3 3 2 2" xfId="254" xr:uid="{437FF165-0E13-4CC1-96CF-AE19CD723C77}"/>
    <cellStyle name="Ezres 3 3 2 2 2" xfId="425" xr:uid="{77D3234B-4970-404F-A2C2-FA1AD46194CF}"/>
    <cellStyle name="Ezres 3 3 2 2 2 2" xfId="769" xr:uid="{57FDC14A-EC00-4ACE-B054-EF1D4BE34CEC}"/>
    <cellStyle name="Ezres 3 3 2 2 3" xfId="621" xr:uid="{D6FEA075-595B-47A5-A4D7-A29F598835B3}"/>
    <cellStyle name="Ezres 3 3 2 3" xfId="388" xr:uid="{475BA751-8729-4649-AD35-0D0D0BA6F32E}"/>
    <cellStyle name="Ezres 3 3 2 3 2" xfId="732" xr:uid="{E6E70A1C-0B48-4D96-A6FB-5F54FFEA21AF}"/>
    <cellStyle name="Ezres 3 3 2 4" xfId="584" xr:uid="{5CBD5905-4778-40C6-AEA8-560E6988EE5D}"/>
    <cellStyle name="Ezres 3 3 3" xfId="232" xr:uid="{7571F276-A820-437A-A2CD-6B0C19246F30}"/>
    <cellStyle name="Ezres 3 3 3 2" xfId="406" xr:uid="{8A3E7D9B-97B7-4A35-B416-EEBFE2DA9188}"/>
    <cellStyle name="Ezres 3 3 3 2 2" xfId="750" xr:uid="{6E5519AA-B563-422F-ADCD-FD041ADF027B}"/>
    <cellStyle name="Ezres 3 3 3 3" xfId="602" xr:uid="{7F49B185-BE68-48DD-BE53-BB24A706CCD7}"/>
    <cellStyle name="Ezres 3 3 4" xfId="364" xr:uid="{E078F519-4EFF-4459-BA78-FF143C071A94}"/>
    <cellStyle name="Ezres 3 3 4 2" xfId="708" xr:uid="{6B3A6D9E-4218-487E-9228-CE8197D45F95}"/>
    <cellStyle name="Ezres 3 3 5" xfId="559" xr:uid="{776CBC72-4B77-4373-AE4D-D4F203C3089E}"/>
    <cellStyle name="Ezres 3 3 6" xfId="168" xr:uid="{D55A881C-0D48-4F3C-A3F0-E29CF7950510}"/>
    <cellStyle name="Ezres 3 4" xfId="59" xr:uid="{0BE77E92-2047-47FD-84C8-3A6011269EA4}"/>
    <cellStyle name="Ezres 3 4 2" xfId="244" xr:uid="{71BDFD69-4082-4BA1-A77C-C400D3D2521B}"/>
    <cellStyle name="Ezres 3 4 2 2" xfId="416" xr:uid="{249392F8-A8AE-47FA-B8AC-08FEBD2106C7}"/>
    <cellStyle name="Ezres 3 4 2 2 2" xfId="760" xr:uid="{875DACE8-178B-4572-BCE0-F58E97AD1189}"/>
    <cellStyle name="Ezres 3 4 2 3" xfId="612" xr:uid="{EA200A82-0275-4698-AF1C-E1E38C16F10D}"/>
    <cellStyle name="Ezres 3 4 3" xfId="376" xr:uid="{E4FC8373-2894-462B-876A-DF3D0F16063A}"/>
    <cellStyle name="Ezres 3 4 3 2" xfId="720" xr:uid="{29E47C21-76F7-485D-8691-E0763590EA2A}"/>
    <cellStyle name="Ezres 3 4 4" xfId="571" xr:uid="{D5A77E46-0BBC-4FF5-916D-4A56FC7A1DED}"/>
    <cellStyle name="Ezres 3 4 5" xfId="191" xr:uid="{7DFC95F6-A2DF-460C-B4F2-5F0FA81D719A}"/>
    <cellStyle name="Ezres 3 5" xfId="223" xr:uid="{28C94066-F7E1-483A-A367-B5B4F3955054}"/>
    <cellStyle name="Ezres 3 5 2" xfId="398" xr:uid="{A8563096-5CB0-4377-BF79-78FC9B0E1B5C}"/>
    <cellStyle name="Ezres 3 5 2 2" xfId="742" xr:uid="{AA3F1EB7-F72F-4019-A8CE-7231899E3273}"/>
    <cellStyle name="Ezres 3 5 3" xfId="594" xr:uid="{779855A8-3D01-4ED5-9032-1C6CE23975CB}"/>
    <cellStyle name="Ezres 3 6" xfId="97" xr:uid="{5E646534-C6A8-4960-A395-6322C5CA657C}"/>
    <cellStyle name="Ezres 3 6 2" xfId="328" xr:uid="{DF6382A1-D8E1-4D33-816D-2F30902CCE62}"/>
    <cellStyle name="Ezres 3 6 2 2" xfId="672" xr:uid="{AF06FAC0-8EFB-4F94-88A8-DFE0286FA116}"/>
    <cellStyle name="Ezres 3 6 3" xfId="523" xr:uid="{4743529C-9CBA-46BC-AA4F-D4A90ADCB03A}"/>
    <cellStyle name="Ezres 3 7" xfId="315" xr:uid="{5855B8F4-6930-4591-AA63-058F222F405F}"/>
    <cellStyle name="Ezres 3 7 2" xfId="658" xr:uid="{F8C3B3FC-7F43-4A6B-A0C5-44D3898E0CFF}"/>
    <cellStyle name="Ezres 3 8" xfId="474" xr:uid="{760DC45A-86A7-4B02-92B6-040F6E4F2728}"/>
    <cellStyle name="Ezres 3 9" xfId="507" xr:uid="{EBB1C9B7-2712-4FF7-9AE9-930177987886}"/>
    <cellStyle name="Ezres 30" xfId="151" xr:uid="{6267D926-46C5-41C1-8A0F-B23988B6D946}"/>
    <cellStyle name="Ezres 30 2" xfId="174" xr:uid="{721F4830-C29F-433B-8885-0D7EA55BAEFB}"/>
    <cellStyle name="Ezres 30 2 2" xfId="211" xr:uid="{44466AAE-0094-4385-9C36-6F1D2880F7DF}"/>
    <cellStyle name="Ezres 30 2 2 2" xfId="256" xr:uid="{A9365A9C-5F20-406B-82C1-5775304BEEC2}"/>
    <cellStyle name="Ezres 30 2 2 2 2" xfId="427" xr:uid="{7A05C08B-295A-4157-93DE-FB6B47DFE6A4}"/>
    <cellStyle name="Ezres 30 2 2 2 2 2" xfId="771" xr:uid="{95CE8B5E-F4BC-4B07-8C18-5C1A1B8241B6}"/>
    <cellStyle name="Ezres 30 2 2 2 3" xfId="623" xr:uid="{71A52D20-7D7C-4122-967D-5D41744D6BA5}"/>
    <cellStyle name="Ezres 30 2 2 3" xfId="390" xr:uid="{84D683EE-DAFB-4ECE-A512-052D84C7B08B}"/>
    <cellStyle name="Ezres 30 2 2 3 2" xfId="734" xr:uid="{10B6FC70-DF41-486E-9455-AEAEDE83FCA8}"/>
    <cellStyle name="Ezres 30 2 2 4" xfId="586" xr:uid="{E7B5AA90-DB07-4C9C-86EA-0298E82A82C3}"/>
    <cellStyle name="Ezres 30 2 3" xfId="234" xr:uid="{FC939755-E899-4B1C-896D-7229EFC8F8D4}"/>
    <cellStyle name="Ezres 30 2 3 2" xfId="408" xr:uid="{BEB5C81C-7DE7-43E0-9428-750103999A31}"/>
    <cellStyle name="Ezres 30 2 3 2 2" xfId="752" xr:uid="{59F7FDED-8FD5-471E-ADA4-E23513BFBEF3}"/>
    <cellStyle name="Ezres 30 2 3 3" xfId="604" xr:uid="{2C0AB975-28B1-4C4C-9D00-7EA76794C2F8}"/>
    <cellStyle name="Ezres 30 2 4" xfId="367" xr:uid="{9219ED4A-DB5D-47AD-AD9A-1BEEF71A1357}"/>
    <cellStyle name="Ezres 30 2 4 2" xfId="711" xr:uid="{DA7B9EA0-315C-4071-BB01-E0DAB8BC5101}"/>
    <cellStyle name="Ezres 30 2 5" xfId="562" xr:uid="{6EED27E3-2E7F-4B04-BCAE-BDDD0D966585}"/>
    <cellStyle name="Ezres 30 3" xfId="199" xr:uid="{1BFE0D83-05D4-43CD-A7F1-DC161AB90EB6}"/>
    <cellStyle name="Ezres 30 3 2" xfId="245" xr:uid="{4293C73D-FF18-4C57-A72C-85320B95B668}"/>
    <cellStyle name="Ezres 30 3 2 2" xfId="417" xr:uid="{25052F79-EBC7-4BC6-A808-12FCF66967BE}"/>
    <cellStyle name="Ezres 30 3 2 2 2" xfId="761" xr:uid="{AAA50B35-F678-4935-9992-921A664484FE}"/>
    <cellStyle name="Ezres 30 3 2 3" xfId="613" xr:uid="{6889B9F8-D014-4EC2-AB67-1ED8521324B8}"/>
    <cellStyle name="Ezres 30 3 3" xfId="380" xr:uid="{B5DB1FCE-9D42-4D81-8CCB-BEED79A11428}"/>
    <cellStyle name="Ezres 30 3 3 2" xfId="724" xr:uid="{D74721FA-8D75-4619-ABA9-6F0E45609083}"/>
    <cellStyle name="Ezres 30 3 4" xfId="576" xr:uid="{76EA02D9-3AF8-4E8D-B895-E4D025346518}"/>
    <cellStyle name="Ezres 30 4" xfId="224" xr:uid="{B57C76A2-B4DE-4F32-8993-CFF1A538828D}"/>
    <cellStyle name="Ezres 30 4 2" xfId="399" xr:uid="{B4BC113D-B5C9-4358-820F-ADBA15F6AFC6}"/>
    <cellStyle name="Ezres 30 4 2 2" xfId="743" xr:uid="{99BDBA6F-B9E2-4DB6-B8C2-0716FBE362C1}"/>
    <cellStyle name="Ezres 30 4 3" xfId="595" xr:uid="{034E6E73-E02A-44E4-87D3-FD8D9A9BE2C7}"/>
    <cellStyle name="Ezres 30 5" xfId="353" xr:uid="{E1A75133-F93C-46A4-980E-09EDDFCE616A}"/>
    <cellStyle name="Ezres 30 5 2" xfId="697" xr:uid="{18536D85-5CD3-435C-BD96-B5B362494E2B}"/>
    <cellStyle name="Ezres 30 6" xfId="548" xr:uid="{D0FED18F-312D-4537-8742-C05802946A7B}"/>
    <cellStyle name="Ezres 31" xfId="166" xr:uid="{2515E14C-6EF6-46B3-99A3-6E60D63E9F2B}"/>
    <cellStyle name="Ezres 31 2" xfId="363" xr:uid="{B184622F-A60B-4347-8260-43AA35628536}"/>
    <cellStyle name="Ezres 31 2 2" xfId="707" xr:uid="{0AC9BEE4-2FA7-4587-ADE7-3FFC6504F611}"/>
    <cellStyle name="Ezres 31 3" xfId="558" xr:uid="{31ABB90D-3907-4E2D-A0AB-33104452A146}"/>
    <cellStyle name="Ezres 32" xfId="165" xr:uid="{F97A982F-9A2F-4FFA-8358-09043D8475AE}"/>
    <cellStyle name="Ezres 32 2" xfId="183" xr:uid="{CCF305B8-A89E-4007-A996-DA7B759E1F64}"/>
    <cellStyle name="Ezres 32 2 2" xfId="373" xr:uid="{7389C34E-9C01-49C0-9581-2A064C735179}"/>
    <cellStyle name="Ezres 32 2 2 2" xfId="717" xr:uid="{80BD8CA1-DF3A-4D30-8C95-6080FBBEDD83}"/>
    <cellStyle name="Ezres 32 2 3" xfId="568" xr:uid="{11637663-49B3-44BD-9DC3-8B4A9C3DC618}"/>
    <cellStyle name="Ezres 32 3" xfId="207" xr:uid="{5AA5AC4A-95AF-48E8-8DDE-1C725374FD66}"/>
    <cellStyle name="Ezres 32 3 2" xfId="253" xr:uid="{F7D1C951-250E-4360-8918-20E3F38DDB04}"/>
    <cellStyle name="Ezres 32 3 2 2" xfId="424" xr:uid="{1698BE96-71BA-47C5-B651-0D47E4E7B657}"/>
    <cellStyle name="Ezres 32 3 2 2 2" xfId="768" xr:uid="{DAC4AE7C-60D3-44C4-9622-DB2CBEBEB2FB}"/>
    <cellStyle name="Ezres 32 3 2 3" xfId="620" xr:uid="{96BF3903-A13B-4D9E-A67D-1A4C22290A34}"/>
    <cellStyle name="Ezres 32 3 3" xfId="387" xr:uid="{2C9B153F-D14D-42FA-BC49-E0884C30DFEB}"/>
    <cellStyle name="Ezres 32 3 3 2" xfId="731" xr:uid="{2055A882-1DE3-42E0-94C0-C740C8CBDDB7}"/>
    <cellStyle name="Ezres 32 3 4" xfId="583" xr:uid="{87CD5447-DAF4-4479-8137-14EDC10BC18D}"/>
    <cellStyle name="Ezres 32 4" xfId="231" xr:uid="{C50E498C-DBF6-4B1C-8FD5-4738F7791563}"/>
    <cellStyle name="Ezres 32 4 2" xfId="405" xr:uid="{61E3D97E-A980-41C4-924E-E8BA0ADF7581}"/>
    <cellStyle name="Ezres 32 4 2 2" xfId="749" xr:uid="{FE3CAEA1-5D7F-4F2B-B88B-762F5CDAEB2D}"/>
    <cellStyle name="Ezres 32 4 3" xfId="601" xr:uid="{A199C05E-1D5D-478E-9B09-6799EF9AE886}"/>
    <cellStyle name="Ezres 32 5" xfId="362" xr:uid="{694FD471-0A83-421A-9A85-9A883CF0906A}"/>
    <cellStyle name="Ezres 32 5 2" xfId="706" xr:uid="{8BE01D11-CD92-4FE8-A3C5-53CAE7936CA7}"/>
    <cellStyle name="Ezres 32 6" xfId="557" xr:uid="{45B20DD7-5FFC-4EBA-A9CD-0333E26559E7}"/>
    <cellStyle name="Ezres 33" xfId="185" xr:uid="{7266C878-E16E-4448-A392-C78BA0DA691A}"/>
    <cellStyle name="Ezres 33 2" xfId="218" xr:uid="{52E7C5C1-C80A-47A4-8CFC-6D15546E824A}"/>
    <cellStyle name="Ezres 33 2 2" xfId="263" xr:uid="{FF13F424-6485-4026-BFD1-488BA72E8EAF}"/>
    <cellStyle name="Ezres 33 2 2 2" xfId="433" xr:uid="{52F0793C-45EF-42E7-BFA2-CADF7A9A9831}"/>
    <cellStyle name="Ezres 33 2 2 2 2" xfId="777" xr:uid="{1EBE312A-75EF-419D-BD09-33E9312EDC82}"/>
    <cellStyle name="Ezres 33 2 2 3" xfId="629" xr:uid="{09F939A3-9459-48F4-8C38-8EB653604421}"/>
    <cellStyle name="Ezres 33 2 3" xfId="396" xr:uid="{2CEC55DF-220A-49DA-95B6-E5F08F5B73C1}"/>
    <cellStyle name="Ezres 33 2 3 2" xfId="740" xr:uid="{870CC1A8-E3C3-4616-8DFD-B6611B75C6E8}"/>
    <cellStyle name="Ezres 33 2 4" xfId="592" xr:uid="{F8461267-0BF8-4E92-A27F-42163C845764}"/>
    <cellStyle name="Ezres 33 3" xfId="241" xr:uid="{11F6A002-500A-4BA1-9826-6712411B2487}"/>
    <cellStyle name="Ezres 33 3 2" xfId="414" xr:uid="{EF2305BA-3A27-430E-8AA4-4F2084F643BD}"/>
    <cellStyle name="Ezres 33 3 2 2" xfId="758" xr:uid="{9E95ED05-BA24-4068-AA84-FEBCB8957562}"/>
    <cellStyle name="Ezres 33 3 3" xfId="610" xr:uid="{528BDA85-1736-4BA6-81A4-06DC58834580}"/>
    <cellStyle name="Ezres 33 4" xfId="374" xr:uid="{B22F411E-3FBF-4EDB-B67B-CE0F2C00AB0D}"/>
    <cellStyle name="Ezres 33 4 2" xfId="718" xr:uid="{B2CAA2B6-8AF6-4108-B467-44BEC5919E90}"/>
    <cellStyle name="Ezres 33 5" xfId="569" xr:uid="{A3DBE592-AB8F-43C9-9819-3F30BF74AE59}"/>
    <cellStyle name="Ezres 34" xfId="186" xr:uid="{C90798F2-90EA-4C9D-B457-51848C8A469E}"/>
    <cellStyle name="Ezres 34 2" xfId="219" xr:uid="{03B1156E-818A-4544-AD4B-39F82EEFA110}"/>
    <cellStyle name="Ezres 34 2 2" xfId="264" xr:uid="{A2DF7DEA-81E8-4236-ACD8-C234975D16A3}"/>
    <cellStyle name="Ezres 34 2 2 2" xfId="434" xr:uid="{84B57012-5192-49CE-A3BF-0CD13E2BCEB8}"/>
    <cellStyle name="Ezres 34 2 2 2 2" xfId="778" xr:uid="{B308B6DC-2606-4D29-B48F-91456061C635}"/>
    <cellStyle name="Ezres 34 2 2 3" xfId="630" xr:uid="{07EF343C-3B99-4379-883B-19DB24CE98E6}"/>
    <cellStyle name="Ezres 34 2 3" xfId="397" xr:uid="{E26019B6-3EA4-41D9-BDC3-4142F6159B2A}"/>
    <cellStyle name="Ezres 34 2 3 2" xfId="741" xr:uid="{749453FF-B82F-42CB-AB34-ABB4C1900561}"/>
    <cellStyle name="Ezres 34 2 4" xfId="593" xr:uid="{3EF884A5-C468-48AB-9314-CEA655859319}"/>
    <cellStyle name="Ezres 34 3" xfId="242" xr:uid="{D39958AC-7243-4D26-A5DD-2B2CDB92A8AE}"/>
    <cellStyle name="Ezres 34 3 2" xfId="415" xr:uid="{106FD46E-D2A0-48D4-B375-043ACBC46E0D}"/>
    <cellStyle name="Ezres 34 3 2 2" xfId="759" xr:uid="{450B6204-0072-4462-A167-278B0470B6A3}"/>
    <cellStyle name="Ezres 34 3 3" xfId="611" xr:uid="{3A68E261-B5D8-4EE0-A227-DE0DFBBFCEA8}"/>
    <cellStyle name="Ezres 34 4" xfId="375" xr:uid="{1A1A4FF7-87D0-4806-8F38-9CC64018A43B}"/>
    <cellStyle name="Ezres 34 4 2" xfId="719" xr:uid="{1758EB1E-66CD-4DCD-9A18-490FC1F877DF}"/>
    <cellStyle name="Ezres 34 5" xfId="570" xr:uid="{62992AEE-8661-4C42-A160-8C6AA75A88DD}"/>
    <cellStyle name="Ezres 35" xfId="169" xr:uid="{571B03A7-2166-4908-86D6-097C5004DCCF}"/>
    <cellStyle name="Ezres 35 2" xfId="209" xr:uid="{0BDCE8DD-7A8C-46EA-A550-2792EE0CE011}"/>
    <cellStyle name="Ezres 35 2 2" xfId="255" xr:uid="{006B5195-7AB3-4355-8134-D98C6F95CA91}"/>
    <cellStyle name="Ezres 35 2 2 2" xfId="426" xr:uid="{396E7456-833B-446C-9C48-3E6C46E452CA}"/>
    <cellStyle name="Ezres 35 2 2 2 2" xfId="770" xr:uid="{E2AD10F5-41F3-4B7F-91DF-38021DF6EC00}"/>
    <cellStyle name="Ezres 35 2 2 3" xfId="622" xr:uid="{9CFB3FD0-36D4-4F6F-BC20-7B9F5403DDE3}"/>
    <cellStyle name="Ezres 35 2 3" xfId="389" xr:uid="{2F991F96-5287-4C38-9ED0-D72F901E1ECE}"/>
    <cellStyle name="Ezres 35 2 3 2" xfId="733" xr:uid="{55CC0095-F46D-4A3F-815F-BF2878651C46}"/>
    <cellStyle name="Ezres 35 2 4" xfId="585" xr:uid="{B0638E9B-A1E4-4E87-A009-A75940320717}"/>
    <cellStyle name="Ezres 35 3" xfId="233" xr:uid="{E67F1555-8B27-4E43-966B-BD0BDBE3FF59}"/>
    <cellStyle name="Ezres 35 3 2" xfId="407" xr:uid="{A11904BD-1117-46BB-8468-553878FBF758}"/>
    <cellStyle name="Ezres 35 3 2 2" xfId="751" xr:uid="{9E8EA3F8-7F3F-4DC6-9116-DF67C51107FE}"/>
    <cellStyle name="Ezres 35 3 3" xfId="603" xr:uid="{A6AC843E-9804-411A-8AA1-4036097F5FDF}"/>
    <cellStyle name="Ezres 35 4" xfId="365" xr:uid="{7CA1AAC2-7013-4CFD-AE61-0685589765E5}"/>
    <cellStyle name="Ezres 35 4 2" xfId="709" xr:uid="{0F605F2C-9B6F-451B-88BE-A9FCF8B33875}"/>
    <cellStyle name="Ezres 35 5" xfId="560" xr:uid="{4D0ABDF2-07FF-4282-8B39-B0122F843984}"/>
    <cellStyle name="Ezres 36" xfId="266" xr:uid="{11F1D9D4-BC27-4F59-A080-C850FA94E1B6}"/>
    <cellStyle name="Ezres 37" xfId="84" xr:uid="{DF25BBA6-3DC9-40ED-B22B-A9DA293D3CB4}"/>
    <cellStyle name="Ezres 37 2" xfId="323" xr:uid="{73969A64-7431-4057-BD0D-99CFC1E7CE1E}"/>
    <cellStyle name="Ezres 37 2 2" xfId="667" xr:uid="{BA9030F9-D7CE-4673-8F59-C88BF37DF39B}"/>
    <cellStyle name="Ezres 37 3" xfId="518" xr:uid="{D9C6032D-780C-4701-B0EC-7733C5D84087}"/>
    <cellStyle name="Ezres 38" xfId="270" xr:uid="{8CEF0F28-9383-4DFE-939E-1DFCEC297087}"/>
    <cellStyle name="Ezres 38 2" xfId="437" xr:uid="{971DDDBE-12E3-4177-A74D-E7F828F73002}"/>
    <cellStyle name="Ezres 38 2 2" xfId="781" xr:uid="{B34B3864-3CDF-475A-8066-14D9A79E9367}"/>
    <cellStyle name="Ezres 38 3" xfId="633" xr:uid="{60F03AC6-10DC-4084-A187-9CA00B49BD48}"/>
    <cellStyle name="Ezres 39" xfId="272" xr:uid="{A1D51057-42E9-4CDF-84C0-BD07FE8FBE27}"/>
    <cellStyle name="Ezres 39 2" xfId="438" xr:uid="{0357205C-3B8B-4C51-9586-C09306CBB2D2}"/>
    <cellStyle name="Ezres 39 2 2" xfId="782" xr:uid="{E7B036F9-9C36-44F8-85BE-0BD040DA79F5}"/>
    <cellStyle name="Ezres 39 3" xfId="634" xr:uid="{20A45B86-499B-493B-8911-ADA3DF3B7537}"/>
    <cellStyle name="Ezres 4" xfId="46" xr:uid="{430B1E83-9637-47E2-9D0C-108000F7F857}"/>
    <cellStyle name="Ezres 4 2" xfId="95" xr:uid="{2DFE6D84-3230-4A30-9957-9F7616E9A108}"/>
    <cellStyle name="Ezres 4 2 2" xfId="327" xr:uid="{8A29D362-9256-4573-9C7E-98826DD5CBD0}"/>
    <cellStyle name="Ezres 4 2 2 2" xfId="671" xr:uid="{02B1A4A1-EDAB-4E59-BACF-75BE41B4CBAC}"/>
    <cellStyle name="Ezres 4 2 3" xfId="490" xr:uid="{15A784A4-4DA9-4130-8C04-5074DCA9B80B}"/>
    <cellStyle name="Ezres 4 2 4" xfId="522" xr:uid="{D1C6F885-0056-4245-8A78-46AFBAF856AE}"/>
    <cellStyle name="Ezres 4 3" xfId="317" xr:uid="{3CC4E21B-9A86-4738-BC81-189CA582AF38}"/>
    <cellStyle name="Ezres 4 3 2" xfId="660" xr:uid="{74AC6993-AF14-4490-AD75-0E5BFD64346B}"/>
    <cellStyle name="Ezres 4 4" xfId="476" xr:uid="{45CF6BAC-1371-425E-8018-B16FAE92DF42}"/>
    <cellStyle name="Ezres 4 4 2" xfId="511" xr:uid="{4C632704-1F0A-4240-BEF3-7783266DF2AF}"/>
    <cellStyle name="Ezres 4 5" xfId="500" xr:uid="{FDFB6E5A-663F-44C5-B2CD-E3C8FFAA2B50}"/>
    <cellStyle name="Ezres 4 6" xfId="69" xr:uid="{A47CB354-A906-4B2D-997E-F02DE45DC61A}"/>
    <cellStyle name="Ezres 40" xfId="275" xr:uid="{A25246D3-F229-4BDD-BB40-8F6493822B51}"/>
    <cellStyle name="Ezres 40 2" xfId="440" xr:uid="{6A153BE9-0DC5-4C97-98ED-01F441298269}"/>
    <cellStyle name="Ezres 40 2 2" xfId="784" xr:uid="{51E18D55-7D7F-4106-BBDE-9D2C1B2F695C}"/>
    <cellStyle name="Ezres 40 3" xfId="636" xr:uid="{85B7D5E6-8DF9-4A1B-BCCE-A7C68048A3F9}"/>
    <cellStyle name="Ezres 41" xfId="281" xr:uid="{DD515B9A-FB69-406C-B770-75C690FE8E4B}"/>
    <cellStyle name="Ezres 41 2" xfId="444" xr:uid="{F94177C0-75A2-49E4-BFF9-69DE6E7D1D4F}"/>
    <cellStyle name="Ezres 41 2 2" xfId="788" xr:uid="{941CE4F0-F2CC-4588-9DBD-D6C658500BE1}"/>
    <cellStyle name="Ezres 41 3" xfId="640" xr:uid="{106947CE-8FC2-4B8D-BA85-5F2A0D1036FD}"/>
    <cellStyle name="Ezres 42" xfId="282" xr:uid="{DE2110E1-75A4-4F2C-9DE2-454E45496318}"/>
    <cellStyle name="Ezres 42 2" xfId="445" xr:uid="{41DC3766-6E5A-46A2-B0A4-20D1B1B3FC6E}"/>
    <cellStyle name="Ezres 42 2 2" xfId="789" xr:uid="{4A158AF5-6C7A-4019-8B2B-66A4BF6D2E1B}"/>
    <cellStyle name="Ezres 42 3" xfId="462" xr:uid="{FB265F7B-9E4E-4C23-9B70-F04926E6089D}"/>
    <cellStyle name="Ezres 42 3 2" xfId="806" xr:uid="{628FCF5E-AC68-4F15-BD25-36F69058B591}"/>
    <cellStyle name="Ezres 42 4" xfId="641" xr:uid="{3966D958-E0AE-4D2A-8F91-C8996C3524A1}"/>
    <cellStyle name="Ezres 43" xfId="280" xr:uid="{D58A7617-2823-4FA6-972C-647E67AED58F}"/>
    <cellStyle name="Ezres 43 2" xfId="443" xr:uid="{AEE414EE-59E0-40A6-8A90-CDBB730AAADC}"/>
    <cellStyle name="Ezres 43 2 2" xfId="787" xr:uid="{7FDBB246-13FB-4DB3-83A3-21C5B8005E2D}"/>
    <cellStyle name="Ezres 43 3" xfId="464" xr:uid="{CD35A4E2-0109-4BCD-B9D9-E5D631B4B722}"/>
    <cellStyle name="Ezres 43 3 2" xfId="808" xr:uid="{9E2D0FD2-47A6-48C5-8CB8-032391022C93}"/>
    <cellStyle name="Ezres 43 4" xfId="639" xr:uid="{82DFAE2D-F764-4131-AEB5-541EDC4963B2}"/>
    <cellStyle name="Ezres 44" xfId="287" xr:uid="{46872F48-9621-471A-ABDF-0728D1E31934}"/>
    <cellStyle name="Ezres 44 2" xfId="447" xr:uid="{1A85024D-5C5B-48D9-B2ED-2796957236D1}"/>
    <cellStyle name="Ezres 44 2 2" xfId="791" xr:uid="{03E681EE-A568-4BB8-967F-B1E2F11A6DCD}"/>
    <cellStyle name="Ezres 44 3" xfId="643" xr:uid="{6EA3D93D-96AC-474D-888C-69367BA4AD2F}"/>
    <cellStyle name="Ezres 45" xfId="288" xr:uid="{7BB1495C-E5C9-4475-BD03-01D58741D8A8}"/>
    <cellStyle name="Ezres 45 2" xfId="448" xr:uid="{3737A2E6-FB0F-4704-9E69-FE7103ADC17E}"/>
    <cellStyle name="Ezres 45 2 2" xfId="792" xr:uid="{EDFFE97C-A0B1-44F7-9525-EC70E6CAA4EC}"/>
    <cellStyle name="Ezres 45 3" xfId="644" xr:uid="{B97A188A-1ED8-4CA1-B39B-50C8DCA1C383}"/>
    <cellStyle name="Ezres 46" xfId="286" xr:uid="{D5763430-5E7D-49A6-B763-AE76AB6FF88F}"/>
    <cellStyle name="Ezres 46 2" xfId="446" xr:uid="{32692E64-D7AE-417D-BC9B-CF880FD9BDF3}"/>
    <cellStyle name="Ezres 46 2 2" xfId="790" xr:uid="{A3CE382F-6937-411F-B065-68826E21094C}"/>
    <cellStyle name="Ezres 46 3" xfId="642" xr:uid="{3E9FBEB6-D245-448A-802A-AE10CE88B778}"/>
    <cellStyle name="Ezres 47" xfId="289" xr:uid="{95CBA904-CD0D-43F4-B23D-39F845B51C3C}"/>
    <cellStyle name="Ezres 47 2" xfId="449" xr:uid="{48CB18C6-B96C-4AE2-854B-57AB7BA41B90}"/>
    <cellStyle name="Ezres 47 2 2" xfId="793" xr:uid="{AEFDA2C3-C6BD-45C9-BDE0-5613CEF1BFCA}"/>
    <cellStyle name="Ezres 47 3" xfId="645" xr:uid="{CD4F61B1-B715-4A01-8BC5-E16177475799}"/>
    <cellStyle name="Ezres 48" xfId="291" xr:uid="{5035E628-D545-4F34-B6FD-0F6667547782}"/>
    <cellStyle name="Ezres 48 2" xfId="450" xr:uid="{5FEEF63A-EFCE-446C-877E-7D1F761F2959}"/>
    <cellStyle name="Ezres 48 2 2" xfId="794" xr:uid="{3AF8215A-3FA6-43F6-BC9E-EAA7C4002464}"/>
    <cellStyle name="Ezres 48 3" xfId="646" xr:uid="{4A2FBFF0-1573-4657-8334-FEF4AC5A0835}"/>
    <cellStyle name="Ezres 49" xfId="293" xr:uid="{DF4386C2-6F08-46E2-A7F5-9EECB021946C}"/>
    <cellStyle name="Ezres 49 2" xfId="451" xr:uid="{F8795F85-56FE-489D-85DE-EA44A66715F8}"/>
    <cellStyle name="Ezres 49 2 2" xfId="795" xr:uid="{B02D0881-0281-478D-B0C6-BC8E312E7368}"/>
    <cellStyle name="Ezres 49 3" xfId="647" xr:uid="{4EB07357-87A6-4D4C-B1C4-7BFC6C5CBBC3}"/>
    <cellStyle name="Ezres 5" xfId="36" xr:uid="{EBCF22F5-8823-4963-9606-F3A34D5E7CCF}"/>
    <cellStyle name="Ezres 5 2" xfId="107" xr:uid="{A57ADD53-3B61-4104-807D-6D262F4435BC}"/>
    <cellStyle name="Ezres 5 2 2" xfId="332" xr:uid="{56AA011C-97FC-4518-AA12-6D21D203D3E2}"/>
    <cellStyle name="Ezres 5 2 2 2" xfId="676" xr:uid="{2ACB4C70-ABFA-4EA0-8872-76D775F85273}"/>
    <cellStyle name="Ezres 5 2 3" xfId="527" xr:uid="{61405833-95D4-4D51-9CB1-A05B953D946D}"/>
    <cellStyle name="Ezres 5 3" xfId="320" xr:uid="{B484C000-E095-44D1-94F2-43867BA6D87A}"/>
    <cellStyle name="Ezres 5 3 2" xfId="664" xr:uid="{97B12BCD-33A2-40B4-AC82-0D454D62AACD}"/>
    <cellStyle name="Ezres 5 4" xfId="487" xr:uid="{E145DE7F-0F79-46D2-A7E3-7D4E5D3FA865}"/>
    <cellStyle name="Ezres 5 5" xfId="515" xr:uid="{45C2DAB5-8100-409C-B388-7D408E417912}"/>
    <cellStyle name="Ezres 5 6" xfId="72" xr:uid="{8198D105-00BB-43F5-8E52-BF4BEC8E19A6}"/>
    <cellStyle name="Ezres 50" xfId="295" xr:uid="{D1C4CCBC-9E84-4A3F-827C-E75AC18D55F9}"/>
    <cellStyle name="Ezres 50 2" xfId="452" xr:uid="{8A7FB3E0-D5C9-4BE6-AF17-AE76DA44AC64}"/>
    <cellStyle name="Ezres 50 2 2" xfId="796" xr:uid="{866CAFBD-6591-42DD-A945-A2C06A0C50AC}"/>
    <cellStyle name="Ezres 50 3" xfId="648" xr:uid="{26B1E843-0E74-4B75-8702-CEF1393DDAFE}"/>
    <cellStyle name="Ezres 51" xfId="297" xr:uid="{6CFBAA29-FE24-4FE3-A72D-9089B8FF2770}"/>
    <cellStyle name="Ezres 51 2" xfId="453" xr:uid="{CC537CCB-0476-4F8F-8653-796C2B83E0F0}"/>
    <cellStyle name="Ezres 51 2 2" xfId="797" xr:uid="{38B8939F-637D-464D-A57D-1B0E728DFE16}"/>
    <cellStyle name="Ezres 51 3" xfId="649" xr:uid="{6D52C283-E24E-45C8-8C6E-6FD44CEC9B02}"/>
    <cellStyle name="Ezres 52" xfId="299" xr:uid="{72EC96F8-4A0B-461A-A1D4-A04BEA557434}"/>
    <cellStyle name="Ezres 52 2" xfId="454" xr:uid="{AFB5F0FB-2974-41E9-BAD6-194896C9A3F0}"/>
    <cellStyle name="Ezres 52 2 2" xfId="798" xr:uid="{491A8D60-7226-4412-A16D-12C249F84C43}"/>
    <cellStyle name="Ezres 52 3" xfId="650" xr:uid="{BEF48A50-9A80-4D5C-A410-046B57AE0673}"/>
    <cellStyle name="Ezres 53" xfId="301" xr:uid="{40E047E3-1C8D-46F5-B13B-A5F9CD2010DD}"/>
    <cellStyle name="Ezres 53 2" xfId="455" xr:uid="{7E478BA4-8962-43A4-B0D5-651859607711}"/>
    <cellStyle name="Ezres 53 2 2" xfId="799" xr:uid="{E713A0A6-4386-4FAD-B24A-4974619F52F8}"/>
    <cellStyle name="Ezres 53 3" xfId="651" xr:uid="{97A368EA-790D-4F1D-B21E-AC6072236228}"/>
    <cellStyle name="Ezres 54" xfId="303" xr:uid="{0A207AE4-75AB-4211-8BF2-C42F5AB9D10D}"/>
    <cellStyle name="Ezres 54 2" xfId="456" xr:uid="{5D51B158-E4C6-41CA-9CA4-D60FE5D36048}"/>
    <cellStyle name="Ezres 54 2 2" xfId="800" xr:uid="{60468101-BB47-4283-ABB6-901A1A00E06D}"/>
    <cellStyle name="Ezres 54 3" xfId="652" xr:uid="{6202F291-AE61-43D5-B6CC-C4AE449CFD70}"/>
    <cellStyle name="Ezres 55" xfId="305" xr:uid="{ECA42C07-D5B5-4242-AFB1-52E51D02313E}"/>
    <cellStyle name="Ezres 55 2" xfId="457" xr:uid="{7C6E7A4D-7E28-4461-9B53-9A768AEE9231}"/>
    <cellStyle name="Ezres 55 2 2" xfId="801" xr:uid="{B0929279-E671-4304-A4B8-62BC1908DCF2}"/>
    <cellStyle name="Ezres 55 3" xfId="653" xr:uid="{3239C800-2E2D-4240-A313-B362BA161617}"/>
    <cellStyle name="Ezres 56" xfId="307" xr:uid="{A4221534-4FB0-4CC6-8F9F-F5B609C17D51}"/>
    <cellStyle name="Ezres 56 2" xfId="458" xr:uid="{FEA65F42-D958-4A25-B5D4-F9374B4A8552}"/>
    <cellStyle name="Ezres 56 2 2" xfId="802" xr:uid="{9D97900F-4C0D-4192-8E7C-533EA6BD9FFF}"/>
    <cellStyle name="Ezres 56 3" xfId="654" xr:uid="{90056B16-E3AF-41F2-9B0C-F9991562B527}"/>
    <cellStyle name="Ezres 57" xfId="312" xr:uid="{51D4C1F9-BC1E-487B-A858-4F5A8D7B232C}"/>
    <cellStyle name="Ezres 57 2" xfId="655" xr:uid="{9888E922-B151-4ACD-9779-0B95A7B847BB}"/>
    <cellStyle name="Ezres 58" xfId="470" xr:uid="{671F95DE-5D9B-4028-BB90-6BA8767B688A}"/>
    <cellStyle name="Ezres 58 2" xfId="504" xr:uid="{BD360943-4E94-4793-969D-5FED9CDE7157}"/>
    <cellStyle name="Ezres 59" xfId="497" xr:uid="{E194F7C7-41F4-4B2D-A59E-910B74EF72A9}"/>
    <cellStyle name="Ezres 6" xfId="54" xr:uid="{D1651170-4927-4E80-A815-31CF805F8036}"/>
    <cellStyle name="Ezres 6 2" xfId="334" xr:uid="{117CA509-E71B-44C6-B41F-F9EEA229998C}"/>
    <cellStyle name="Ezres 6 2 2" xfId="678" xr:uid="{5A27D0A9-B4A7-4008-BBFE-A8FDA5A84525}"/>
    <cellStyle name="Ezres 6 3" xfId="529" xr:uid="{B827E0E6-FA01-4264-8A49-6D093C577227}"/>
    <cellStyle name="Ezres 6 4" xfId="108" xr:uid="{15521418-5394-4FE3-B1F7-FEE70F69605B}"/>
    <cellStyle name="Ezres 60" xfId="574" xr:uid="{1D48C2D7-13B4-45DC-9327-72FFED980B1D}"/>
    <cellStyle name="Ezres 61" xfId="64" xr:uid="{AE167FED-5601-473F-BD1E-4BC31CA09E84}"/>
    <cellStyle name="Ezres 62" xfId="466" xr:uid="{8C3305A8-ADE9-442B-9648-48E76DEE81F9}"/>
    <cellStyle name="Ezres 7" xfId="92" xr:uid="{00C673C1-2DA5-42B2-A5A7-29D69893D835}"/>
    <cellStyle name="Ezres 7 2" xfId="325" xr:uid="{C3069E7E-124D-44C4-BA6A-5613708C8FB5}"/>
    <cellStyle name="Ezres 7 2 2" xfId="669" xr:uid="{74F73FAE-2435-4866-9A25-EF1251FB29D5}"/>
    <cellStyle name="Ezres 7 3" xfId="520" xr:uid="{F6F4C339-88B6-40C7-86D3-B5DF47C85D9A}"/>
    <cellStyle name="Ezres 8" xfId="90" xr:uid="{BF6A7B3D-4958-4739-A689-A3CCAA8AB0F7}"/>
    <cellStyle name="Ezres 8 2" xfId="324" xr:uid="{27C4D394-A55F-425E-950D-8A73690237A8}"/>
    <cellStyle name="Ezres 8 2 2" xfId="668" xr:uid="{D5010B59-4FA4-4D02-A8C4-BFD50D415379}"/>
    <cellStyle name="Ezres 8 3" xfId="519" xr:uid="{EEAEFBDB-BA54-4D9B-9BBE-ED95E69B01E5}"/>
    <cellStyle name="Ezres 9" xfId="94" xr:uid="{C802E632-7787-4C70-B8DF-05D42D422343}"/>
    <cellStyle name="Ezres 9 2" xfId="326" xr:uid="{0908C4FD-E046-463F-97C0-AB0F3FA0A8CC}"/>
    <cellStyle name="Ezres 9 2 2" xfId="670" xr:uid="{E0C85510-FF97-44B0-920D-3FE2FD912370}"/>
    <cellStyle name="Ezres 9 3" xfId="521" xr:uid="{68CCCEC1-B2E6-4CE5-AC2F-ED323E666D58}"/>
    <cellStyle name="hivatkoz" xfId="93" xr:uid="{30691043-6354-4E3E-97C6-F28BFB84DBAD}"/>
    <cellStyle name="Hivatkozás 2" xfId="139" xr:uid="{E618EB75-221E-4D02-86BA-34948F583B38}"/>
    <cellStyle name="Hivatkozás 3" xfId="182" xr:uid="{96F74BC6-B659-4579-90C4-A7B226CA00FB}"/>
    <cellStyle name="Input value" xfId="2" xr:uid="{FB343DC4-ACBB-4D93-86DE-6FAFD75225FE}"/>
    <cellStyle name="Jelölőszín 4 2" xfId="157" xr:uid="{17E886DD-CA58-449E-9DF0-0B9B29A75A29}"/>
    <cellStyle name="Jelölőszín 4 3" xfId="172" xr:uid="{8941CB41-A2B5-4498-975D-D6DADBBC5A47}"/>
    <cellStyle name="keplet_hor" xfId="87" xr:uid="{C76C2CB6-66AE-4C48-B6AA-8C929800D1FE}"/>
    <cellStyle name="Normál" xfId="0" builtinId="0"/>
    <cellStyle name="Normál 10" xfId="164" xr:uid="{45BFB9DF-5B40-4975-9372-82905C4F984F}"/>
    <cellStyle name="Normál 10 2" xfId="361" xr:uid="{9634EAA5-E6DC-4B64-9EC4-145E28D522EB}"/>
    <cellStyle name="Normál 10 2 2" xfId="705" xr:uid="{6F555852-5831-47FB-8F0D-4E3B6D0F2965}"/>
    <cellStyle name="Normál 10 3" xfId="16" xr:uid="{468AD695-BEAB-4CEC-9EDC-747FB169A78A}"/>
    <cellStyle name="Normál 10 4" xfId="556" xr:uid="{5E7B7ECF-B988-491E-9DD7-7B2080E8F587}"/>
    <cellStyle name="Normál 11" xfId="163" xr:uid="{C236DF1D-734C-43A8-BF85-6C1B849CC71A}"/>
    <cellStyle name="Normál 11 2" xfId="205" xr:uid="{B0B0ADC4-E87B-4409-BEBE-E487B1BCEF5A}"/>
    <cellStyle name="Normál 11 2 2" xfId="251" xr:uid="{8FB33E7B-8C55-4A6C-8769-05554377EB01}"/>
    <cellStyle name="Normál 11 3" xfId="230" xr:uid="{565AB3D7-8658-44EA-B0B6-06C607477911}"/>
    <cellStyle name="Normál 12" xfId="170" xr:uid="{9D75FC74-B3C0-4317-A30C-1F68C7B9F9A3}"/>
    <cellStyle name="Normál 12 2" xfId="210" xr:uid="{FB156A9E-51C1-41B0-86E5-0CF1ED02BD86}"/>
    <cellStyle name="Normál 13" xfId="187" xr:uid="{96240FF9-F96C-43AB-95DD-85F6E1F9E4BA}"/>
    <cellStyle name="Normál 13 2" xfId="220" xr:uid="{5EFB0425-25DE-4DF6-B022-905D3B869879}"/>
    <cellStyle name="Normál 14" xfId="10" xr:uid="{1B521B5E-F517-4D5D-B9D6-2138AABD548F}"/>
    <cellStyle name="Normál 14 2" xfId="3" xr:uid="{3DD25A4D-16A1-4DE9-BF2B-D151B8DDAB9D}"/>
    <cellStyle name="Normál 14 3" xfId="21" xr:uid="{6396253A-6BA3-41DF-BB30-0AF342D84E86}"/>
    <cellStyle name="Normál 15" xfId="51" xr:uid="{E07F81D4-DB0A-44CA-B6B5-A7AEC487AA2D}"/>
    <cellStyle name="Normál 15 2" xfId="17" xr:uid="{F1FD0642-3A82-4AC1-9BCF-323AFCFE93AC}"/>
    <cellStyle name="Normál 15 2 2" xfId="70" xr:uid="{9FB6B059-34E1-45A0-B81B-A2593A8E3F29}"/>
    <cellStyle name="Normál 15 2 2 2" xfId="318" xr:uid="{92BA0AB3-FDA4-4614-9FD9-ADEA4FF36877}"/>
    <cellStyle name="Normál 15 2 2 2 2" xfId="489" xr:uid="{B1715E13-51A1-450E-B332-93BBC8D8C63F}"/>
    <cellStyle name="Normál 15 2 2 2 2 2" xfId="662" xr:uid="{DA23E6C0-66A9-445B-9AD7-1E8421357833}"/>
    <cellStyle name="Normál 15 2 2 2 3" xfId="478" xr:uid="{1CD73021-67B2-4C7A-B6C5-A746E7D4280E}"/>
    <cellStyle name="Normál 15 2 2 2 4" xfId="499" xr:uid="{0E988EF7-AEA5-4E79-8845-BD965A5B2711}"/>
    <cellStyle name="Normál 15 2 2 3" xfId="460" xr:uid="{F52802C4-7660-4DF1-A781-4EB574A8F768}"/>
    <cellStyle name="Normál 15 2 2 3 2" xfId="484" xr:uid="{2DFE5199-DFDC-47FE-9339-3400C3166369}"/>
    <cellStyle name="Normál 15 2 2 3 3" xfId="804" xr:uid="{F97DAF8A-7C3B-497C-BA9E-04190C6F54E6}"/>
    <cellStyle name="Normál 15 2 2 4" xfId="475" xr:uid="{CB020641-D4A8-4317-A1E6-0B592E83EB34}"/>
    <cellStyle name="Normál 15 2 2 5" xfId="513" xr:uid="{0BBC128A-3371-4BE5-B484-DFD8EFDD5F3A}"/>
    <cellStyle name="Normál 15 2 3" xfId="314" xr:uid="{7D7F9715-2540-4D52-A175-21264FCC40D0}"/>
    <cellStyle name="Normál 15 2 3 2" xfId="657" xr:uid="{305DCFC1-58EC-4CF8-AF8C-8CDD3EAF4555}"/>
    <cellStyle name="Normál 15 2 4" xfId="472" xr:uid="{3ADC4A65-0DC0-4378-A0CA-C1AC91997CB4}"/>
    <cellStyle name="Normál 15 2 5" xfId="506" xr:uid="{85EE89CE-D796-49EA-AB06-D00ECAFFD6EA}"/>
    <cellStyle name="Normál 15 3" xfId="4" xr:uid="{365C175D-DB80-4F17-A00E-269D374DF67A}"/>
    <cellStyle name="Normál 15 3 2" xfId="23" xr:uid="{C6B28441-3F38-4034-B302-02EC7A6F6B7F}"/>
    <cellStyle name="Normál 15 3 2 2" xfId="485" xr:uid="{DF60A0CB-0189-419E-A00C-408D0B6500CD}"/>
    <cellStyle name="Normál 15 3 2 3" xfId="661" xr:uid="{DB9E3160-E196-4D98-83BA-651F7F9D9B34}"/>
    <cellStyle name="Normál 15 3 3" xfId="491" xr:uid="{5B824D5C-98FD-490D-BD0E-26DFD37386E2}"/>
    <cellStyle name="Normál 15 3 3 2" xfId="512" xr:uid="{0F5B6C4A-4571-4217-95D5-6A2DA219FBB9}"/>
    <cellStyle name="Normál 15 3 4" xfId="477" xr:uid="{2218EBBC-D492-4E63-98EE-E220B23685BF}"/>
    <cellStyle name="Normál 15 3 5" xfId="501" xr:uid="{1CD0DFC3-5638-44D5-AFBF-FBAD2F944432}"/>
    <cellStyle name="Normál 15 4" xfId="52" xr:uid="{039F2CAB-4BB7-4155-9F51-97BCE3357749}"/>
    <cellStyle name="Normál 15 4 2" xfId="488" xr:uid="{7B35E126-C37B-4179-98DB-5ED3AC972240}"/>
    <cellStyle name="Normál 15 4 3" xfId="265" xr:uid="{804AC304-8764-4605-8F13-306EB8679ACF}"/>
    <cellStyle name="Normál 15 5" xfId="313" xr:uid="{E465ACB4-65C6-4444-A716-4FA469956F0C}"/>
    <cellStyle name="Normál 15 5 2" xfId="496" xr:uid="{48CF59E7-7AD5-4E9C-A612-CF02F6E60D12}"/>
    <cellStyle name="Normál 15 5 3" xfId="656" xr:uid="{11D18970-59BB-4B92-AE1E-97D8FB567527}"/>
    <cellStyle name="Normál 15 6" xfId="465" xr:uid="{366E1CCE-9583-4D92-8C52-5B9F69B09348}"/>
    <cellStyle name="Normál 15 6 2" xfId="809" xr:uid="{BE3FF81A-8BC0-4AF0-B725-33037C09D2EE}"/>
    <cellStyle name="Normál 15 7" xfId="471" xr:uid="{6D3C65EB-90F5-4B54-B225-B8AD50E2EFEA}"/>
    <cellStyle name="Normál 15 7 2" xfId="505" xr:uid="{1A5E4EF3-D896-461A-81BC-7173711B5A10}"/>
    <cellStyle name="Normál 15 8" xfId="498" xr:uid="{E2AE1E19-E1CD-4DB7-8041-9A936E35C2EA}"/>
    <cellStyle name="Normál 16" xfId="74" xr:uid="{0861C3E7-D663-4D50-A953-F309539E245B}"/>
    <cellStyle name="Normál 16 2" xfId="322" xr:uid="{C77F6183-B13D-4B85-80FC-AFA92AA0F95C}"/>
    <cellStyle name="Normál 16 2 2" xfId="666" xr:uid="{82A23860-D969-4818-8067-C9B5FCB4BBA7}"/>
    <cellStyle name="Normál 16 3" xfId="517" xr:uid="{D4557C2C-09D2-40E5-BF5F-76DDA2A045BF}"/>
    <cellStyle name="Normál 17" xfId="193" xr:uid="{533559D3-9D6C-4845-AE9D-DEBACCBF700A}"/>
    <cellStyle name="Normál 17 2" xfId="377" xr:uid="{976EE4B8-7D83-42E0-8798-42D900C16E39}"/>
    <cellStyle name="Normál 17 2 2" xfId="721" xr:uid="{D1CDE352-6D89-4236-A615-735290C61793}"/>
    <cellStyle name="Normál 17 3" xfId="572" xr:uid="{F6FCD008-544B-450F-AFFD-80F8EBFBD5A8}"/>
    <cellStyle name="Normál 18" xfId="273" xr:uid="{B0514B16-EDDB-4E17-9E16-8846472A725B}"/>
    <cellStyle name="Normál 19" xfId="274" xr:uid="{0C97A6E5-EF6E-4DEE-B920-EDA65B5B468B}"/>
    <cellStyle name="Normál 19 2" xfId="439" xr:uid="{CCC6DA12-DED7-4AC9-A2BD-93872F4A4ACC}"/>
    <cellStyle name="Normál 19 2 2" xfId="783" xr:uid="{225D926B-BD9A-48DE-8912-E0D5C8F79849}"/>
    <cellStyle name="Normál 19 3" xfId="461" xr:uid="{90E05A68-C439-40AA-BE77-1DB536F70AD8}"/>
    <cellStyle name="Normál 19 3 2" xfId="805" xr:uid="{BFB7F8EA-0619-4083-BC5E-7FFA52B71360}"/>
    <cellStyle name="Normál 19 4" xfId="635" xr:uid="{C170606C-7F39-4961-8426-59601E2C060C}"/>
    <cellStyle name="Normal 2" xfId="32" xr:uid="{18076431-87DA-4EF8-B8F5-09EAAD710ABB}"/>
    <cellStyle name="Normál 2" xfId="8" xr:uid="{6C8E908C-2AE7-4817-A6A9-C09991F78149}"/>
    <cellStyle name="Normal 2 10" xfId="114" xr:uid="{B9D5EBA0-9D6A-4359-B4C7-DFB7A5B9ECB0}"/>
    <cellStyle name="Normál 2 10" xfId="152" xr:uid="{7C584E35-8F56-4A7C-A49E-0E9FDED7988E}"/>
    <cellStyle name="Normal 2 11" xfId="125" xr:uid="{1AFFE18B-DA9B-4518-B8AD-33AF537321BF}"/>
    <cellStyle name="Normál 2 11" xfId="180" xr:uid="{8C3CCC46-1A95-4BFE-8C05-ACCE68B05A89}"/>
    <cellStyle name="Normal 2 12" xfId="132" xr:uid="{53B6A643-4C1C-4C1A-B5C6-0919F2506F83}"/>
    <cellStyle name="Normál 2 12" xfId="184" xr:uid="{524367C7-C7D4-4F7A-8F35-05655815FDBA}"/>
    <cellStyle name="Normal 2 13" xfId="138" xr:uid="{6400D471-20A2-4A1B-9231-B2B4FE831775}"/>
    <cellStyle name="Normál 2 13" xfId="167" xr:uid="{DF10A678-FD9B-4DF6-BF18-B6232767CC73}"/>
    <cellStyle name="Normal 2 14" xfId="121" xr:uid="{05E912FD-10B1-4B14-B295-F717DBCC2A71}"/>
    <cellStyle name="Normál 2 14" xfId="192" xr:uid="{14A3FB4B-9CBC-48B4-ADDE-D717801851A0}"/>
    <cellStyle name="Normal 2 15" xfId="80" xr:uid="{2D6FBAC7-AFA5-462B-8172-CDF5058BAFB1}"/>
    <cellStyle name="Normál 2 15" xfId="75" xr:uid="{91C0DBFD-6687-40C1-B6E7-9D4EA2EFFCE5}"/>
    <cellStyle name="Normal 2 16" xfId="810" xr:uid="{D754B2F8-4136-454C-B968-B18BAF0052A0}"/>
    <cellStyle name="Normál 2 16" xfId="269" xr:uid="{9EA23A69-E1D1-498D-BEF5-E70FFBEE06DA}"/>
    <cellStyle name="Normál 2 17" xfId="271" xr:uid="{DB6DA032-690F-421D-A2BD-C1265EBD274C}"/>
    <cellStyle name="Normál 2 18" xfId="278" xr:uid="{7E60CF07-4999-4FBB-9ACA-E0B7F439A745}"/>
    <cellStyle name="Normál 2 19" xfId="283" xr:uid="{99F811A0-306F-4A7F-AFF7-AF756CFDB85A}"/>
    <cellStyle name="Normal 2 2" xfId="39" xr:uid="{CE2620C6-74D3-4D84-9D56-98FA333ABE18}"/>
    <cellStyle name="Normál 2 2" xfId="12" xr:uid="{D5EC7E42-16C9-4108-830B-2F869403BBAF}"/>
    <cellStyle name="Normál 2 2 2" xfId="22" xr:uid="{4BD0056D-EC21-4A7B-BB5C-7634B7DF8988}"/>
    <cellStyle name="Normál 2 2 2 2" xfId="194" xr:uid="{94C5EBBD-4292-430A-A341-C75563AC26FC}"/>
    <cellStyle name="Normál 2 2 3" xfId="492" xr:uid="{7B6A3E70-E170-489C-A67C-B43B5E6ED4FE}"/>
    <cellStyle name="Normál 2 2 4" xfId="76" xr:uid="{79033130-DBCF-46AA-8CAC-11E8D4E29835}"/>
    <cellStyle name="Normál 2 20" xfId="27" xr:uid="{95A98216-F7A4-4F14-B373-8E07AC90E83D}"/>
    <cellStyle name="Normál 2 21" xfId="284" xr:uid="{BC8A6338-34E1-4F56-809C-9A565AABCE14}"/>
    <cellStyle name="Normál 2 22" xfId="285" xr:uid="{A36A2645-DE17-44D2-B315-69B349E7259A}"/>
    <cellStyle name="Normál 2 23" xfId="290" xr:uid="{F07B253A-F460-4C6F-A1D2-F9364227C204}"/>
    <cellStyle name="Normál 2 24" xfId="292" xr:uid="{1E065748-4830-4717-A9C5-55E4935F39CF}"/>
    <cellStyle name="Normál 2 25" xfId="294" xr:uid="{D726154F-4AA5-4B3D-80E6-30B2010FC832}"/>
    <cellStyle name="Normál 2 26" xfId="296" xr:uid="{99A89B15-9F8B-44A4-9026-99645C007B62}"/>
    <cellStyle name="Normál 2 27" xfId="298" xr:uid="{BD5A87E6-EC76-4DAA-BC42-E083FF426447}"/>
    <cellStyle name="Normál 2 28" xfId="300" xr:uid="{13C994DF-8351-4267-9A2C-396FB7D8EEED}"/>
    <cellStyle name="Normál 2 29" xfId="302" xr:uid="{1E0CA5C1-9760-4FAE-BE3D-D247A072ABD9}"/>
    <cellStyle name="Normal 2 3" xfId="91" xr:uid="{1FD2C8D6-BB50-4B58-8A27-143A4DE28B2B}"/>
    <cellStyle name="Normál 2 3" xfId="19" xr:uid="{F5FD43CA-7D37-4641-8E0E-B633B17C9784}"/>
    <cellStyle name="Normál 2 3 2" xfId="82" xr:uid="{4D46775D-A570-464B-AE1A-4F340F1797CD}"/>
    <cellStyle name="Normál 2 3 2 2" xfId="96" xr:uid="{C12560A8-6C09-4473-8DBB-D48B00272912}"/>
    <cellStyle name="Normál 2 3 3" xfId="81" xr:uid="{724532E8-F81B-4C41-86D1-FABC52374616}"/>
    <cellStyle name="Normál 2 30" xfId="304" xr:uid="{01E2135D-6855-411D-ACDD-42F7329C0FB8}"/>
    <cellStyle name="Normál 2 31" xfId="306" xr:uid="{26C364D4-FBD8-41B6-B5C1-AAE880EB9A77}"/>
    <cellStyle name="Normál 2 32" xfId="308" xr:uid="{D104B650-4255-4203-A25A-2BA16E75D065}"/>
    <cellStyle name="Normál 2 33" xfId="309" xr:uid="{2A861A6C-80AC-4B3F-959F-1F4D5D55A3B3}"/>
    <cellStyle name="Normál 2 34" xfId="310" xr:uid="{4D8A6D7F-337D-442D-A4EC-9CEA8E141C46}"/>
    <cellStyle name="Normál 2 35" xfId="311" xr:uid="{A4DCD3D6-93E2-4097-AF4A-FBB364B8EFBC}"/>
    <cellStyle name="Normál 2 36" xfId="479" xr:uid="{1CBE82FE-770D-42B7-9BA5-9FB59F9D6E12}"/>
    <cellStyle name="Normál 2 36 2" xfId="508" xr:uid="{843019A5-E026-442D-9F39-7AB42CD5278D}"/>
    <cellStyle name="Normál 2 37" xfId="66" xr:uid="{6C1C937E-09D3-4F6F-A9E1-A32C263A28EF}"/>
    <cellStyle name="Normál 2 38" xfId="68" xr:uid="{766841F8-C2F2-46CA-B32B-C4D55BB1FF01}"/>
    <cellStyle name="Normal 2 4" xfId="102" xr:uid="{90738691-2BFC-4526-B882-28FCB513CE5F}"/>
    <cellStyle name="Normál 2 4" xfId="29" xr:uid="{CB84DA8E-B11B-412D-B142-F5AE37354CFE}"/>
    <cellStyle name="Normál 2 4 2" xfId="86" xr:uid="{653E1EFF-EDC8-4BEB-9B68-457694E3DB6C}"/>
    <cellStyle name="Normál 2 4 3" xfId="181" xr:uid="{CB537A89-043A-49ED-A230-42B786CB8B7A}"/>
    <cellStyle name="Normál 2 4 3 2" xfId="217" xr:uid="{6129266D-F083-494E-80A0-D1D8C68C69F4}"/>
    <cellStyle name="Normál 2 4 3 2 2" xfId="262" xr:uid="{9DB11296-FA6C-43CF-91E3-A9FC32631D03}"/>
    <cellStyle name="Normál 2 4 3 3" xfId="240" xr:uid="{64B86658-1B34-46DB-9AF3-6914F0EEE9E8}"/>
    <cellStyle name="Normál 2 4 4" xfId="189" xr:uid="{A2C7A9DB-3915-44CB-BB9D-F4BCB6E3D719}"/>
    <cellStyle name="Normál 2 4 4 2" xfId="243" xr:uid="{838069BA-B134-4AB1-9120-2FB7F9C17FDA}"/>
    <cellStyle name="Normál 2 4 5" xfId="222" xr:uid="{A298EF8B-EB7E-4276-8304-29065F4EF0B1}"/>
    <cellStyle name="Normál 2 4 6" xfId="83" xr:uid="{8B307A58-025A-438C-AAEE-5C5F4A621989}"/>
    <cellStyle name="Normal 2 5" xfId="104" xr:uid="{1696254C-9F86-47BA-B751-402644E9A640}"/>
    <cellStyle name="Normál 2 5" xfId="25" xr:uid="{21599BB0-F0E6-4FA2-AA1B-569B9651C772}"/>
    <cellStyle name="Normal 2 6" xfId="106" xr:uid="{F8AC9C50-9ABA-475C-99FD-4E263EEA5E5B}"/>
    <cellStyle name="Normál 2 6" xfId="56" xr:uid="{27FC715B-FDE4-4AE8-931B-25FBB45170B8}"/>
    <cellStyle name="Normál 2 6 2" xfId="134" xr:uid="{856F287D-80AC-467B-86C7-B625F810860D}"/>
    <cellStyle name="Normal 2 7" xfId="105" xr:uid="{0F664F45-3593-40F2-B7F0-CDD3CF27DFA1}"/>
    <cellStyle name="Normál 2 7" xfId="62" xr:uid="{058880B6-4ECB-4269-8DC5-614F35CE4A67}"/>
    <cellStyle name="Normál 2 7 2" xfId="135" xr:uid="{17FCDE07-F9BB-4FD9-99EC-4EBC3C9B0633}"/>
    <cellStyle name="Normal 2 8" xfId="110" xr:uid="{D3228AC9-333B-462F-BAEE-D3DA78DF9642}"/>
    <cellStyle name="Normál 2 8" xfId="146" xr:uid="{1265B051-DBEE-4BA6-8694-45FEB299B31C}"/>
    <cellStyle name="Normal 2 9" xfId="112" xr:uid="{A55378E5-C1F7-43BF-BB93-55C6A321B9EF}"/>
    <cellStyle name="Normál 2 9" xfId="153" xr:uid="{F8FC22E9-1EBC-44B7-9161-75D8CB1D1190}"/>
    <cellStyle name="Normál 20" xfId="459" xr:uid="{411AF3F8-33DB-4E59-82B9-46C8C97BDB17}"/>
    <cellStyle name="Normál 20 2" xfId="803" xr:uid="{DFD2CDD8-6CD7-483C-99A6-738930F4324E}"/>
    <cellStyle name="Normál 21" xfId="195" xr:uid="{A810B187-08B5-4CB5-A4D0-6B3E5416DAEA}"/>
    <cellStyle name="Normál 21 2" xfId="378" xr:uid="{5109F02C-20FD-4432-BDFA-D95B8F265E35}"/>
    <cellStyle name="Normál 21 2 2" xfId="722" xr:uid="{E15394FC-2C92-4BF6-B310-ACD5201B0207}"/>
    <cellStyle name="Normál 21 3" xfId="573" xr:uid="{FC564514-A38B-4A76-B77A-48EE4C0B4933}"/>
    <cellStyle name="Normál 22" xfId="467" xr:uid="{82CA5DB2-F627-4EBD-A997-D7DBA2840B73}"/>
    <cellStyle name="Normál 23" xfId="468" xr:uid="{DDB24C1D-6827-499C-BD7A-508CC6EC65D3}"/>
    <cellStyle name="Normál 24" xfId="469" xr:uid="{77B08DB7-433F-4A8A-9042-ED9CDDA927A2}"/>
    <cellStyle name="Normál 25" xfId="63" xr:uid="{DCBB5E44-C09D-4FAC-8678-4AD6BDC57F49}"/>
    <cellStyle name="Normal 3" xfId="99" xr:uid="{24849F9E-5E92-4CDB-B797-7945EAE31615}"/>
    <cellStyle name="Normál 3" xfId="6" xr:uid="{12553EAD-32A4-4294-90D1-51796BAD319D}"/>
    <cellStyle name="Normál 3 2" xfId="35" xr:uid="{9F159457-6649-417B-9EDE-8512514F3C8B}"/>
    <cellStyle name="Normál 3 2 2" xfId="188" xr:uid="{AB60A772-7860-4F97-9EF4-B904FE54695A}"/>
    <cellStyle name="Normál 3 2 3" xfId="338" xr:uid="{8CDC71EA-BFF0-4AF6-86FC-A4EF8EFF2888}"/>
    <cellStyle name="Normál 3 2 3 2" xfId="682" xr:uid="{3C1F79DB-A799-4F2D-B943-49DAD8232ABB}"/>
    <cellStyle name="Normál 3 2 4" xfId="494" xr:uid="{1247B3DD-F9DA-4B5D-9507-B24BF2DDFA53}"/>
    <cellStyle name="Normál 3 2 5" xfId="533" xr:uid="{B7C3D213-EB7F-4956-99AC-19A735CFA29C}"/>
    <cellStyle name="Normál 3 3" xfId="44" xr:uid="{EE7CEC77-B6E3-4BC2-8D69-705BAB20105A}"/>
    <cellStyle name="Normál 3 3 2" xfId="221" xr:uid="{F1C71A39-E365-4D42-94EB-0DB1AE98CFCC}"/>
    <cellStyle name="Normál 3 4" xfId="33" xr:uid="{534CD698-500C-44BC-B452-29B5507E6121}"/>
    <cellStyle name="Normál 3 5" xfId="58" xr:uid="{29256746-F8EA-42F1-BDF4-05C57531BF8F}"/>
    <cellStyle name="Normál 3 5 2" xfId="510" xr:uid="{7F12A28C-9922-4238-ACC3-99144A20AB5A}"/>
    <cellStyle name="Normál 3 6" xfId="503" xr:uid="{36B3AE0E-A794-48F9-8133-0C2BF223BA67}"/>
    <cellStyle name="Normal 4" xfId="115" xr:uid="{A4BDBB7D-46C5-4296-9EF9-110A9BD2C138}"/>
    <cellStyle name="Normál 4" xfId="37" xr:uid="{FF7DCBCF-364B-46ED-BB34-5B161B05884A}"/>
    <cellStyle name="Normál 4 2" xfId="47" xr:uid="{6DA2F4B7-95E0-468C-8066-4820F24E31D7}"/>
    <cellStyle name="Normál 4 2 2" xfId="190" xr:uid="{266AF0B8-DE1A-4B94-BB40-2C5650A214BF}"/>
    <cellStyle name="Normál 4 3" xfId="267" xr:uid="{ACA83CFC-D5DE-48D5-B717-5A00259514AA}"/>
    <cellStyle name="Normál 4 3 2" xfId="435" xr:uid="{1373B5C1-0DE7-4BAA-8BD7-0AF1C226A376}"/>
    <cellStyle name="Normál 4 3 2 2" xfId="779" xr:uid="{0D511D48-E303-4CE1-A5D2-25DD7A3DBC07}"/>
    <cellStyle name="Normál 4 3 3" xfId="631" xr:uid="{14F090D6-63F3-4FCD-81B2-9AA96ADA2492}"/>
    <cellStyle name="Normál 4 4" xfId="140" xr:uid="{2A8419B1-9BF5-486C-97D2-E25A70E9CB35}"/>
    <cellStyle name="Normál 4 5" xfId="319" xr:uid="{A49F252E-920D-497F-B89D-074098419062}"/>
    <cellStyle name="Normál 4 5 2" xfId="663" xr:uid="{4CECD366-FF3C-4391-8633-CA79DC69BD30}"/>
    <cellStyle name="Normál 4 6" xfId="480" xr:uid="{43A035A7-4A66-4089-9963-5AAD4E4838B7}"/>
    <cellStyle name="Normál 4 7" xfId="514" xr:uid="{477CB8B0-B4B6-4A09-AFF4-862188A6BE1F}"/>
    <cellStyle name="Normál 4 8" xfId="71" xr:uid="{6C6D5EC1-41BD-411D-8944-F10F2225FFE1}"/>
    <cellStyle name="Normál 40" xfId="101" xr:uid="{D995B8E1-E5E0-4BBC-9C5C-20FEB3748442}"/>
    <cellStyle name="Normál 40 2" xfId="330" xr:uid="{65A5D485-F579-4B96-9E87-7B2A9516C224}"/>
    <cellStyle name="Normál 40 2 2" xfId="674" xr:uid="{A9C9B729-85EE-4816-839D-B58D236C2016}"/>
    <cellStyle name="Normál 40 3" xfId="28" xr:uid="{C0EB0BD9-56B6-4201-879A-BEA5B0D00672}"/>
    <cellStyle name="Normál 40 3 2" xfId="333" xr:uid="{6B753392-A6BF-4831-99BF-33951A062A9E}"/>
    <cellStyle name="Normál 40 3 2 2" xfId="677" xr:uid="{6AF67C78-0E65-442E-B2DA-517D290FA317}"/>
    <cellStyle name="Normál 40 3 3" xfId="528" xr:uid="{5FD19F39-DA4E-43F3-845F-3793A5343CBA}"/>
    <cellStyle name="Normál 40 4" xfId="525" xr:uid="{691BA29F-83EA-4BB2-8FE8-E48399F2D233}"/>
    <cellStyle name="Normál 40 4 2" xfId="24" xr:uid="{7CA1EB77-477B-4AA8-9344-062B16F47F44}"/>
    <cellStyle name="Normál 40 8" xfId="40" xr:uid="{2F25B95E-A4A8-43B4-BECB-A769CF1EC0DA}"/>
    <cellStyle name="Normál 5" xfId="38" xr:uid="{A095D5FA-D832-4426-B087-531DD9CFD581}"/>
    <cellStyle name="Normál 5 2" xfId="31" xr:uid="{A4063A9B-08D7-48CB-BD0E-AA90CD362B34}"/>
    <cellStyle name="Normál 5 2 2" xfId="436" xr:uid="{7C372DD2-C340-4D65-A8CB-7F6BAB232FEB}"/>
    <cellStyle name="Normál 5 2 2 2" xfId="780" xr:uid="{7FD5B58A-4D96-492D-AF47-07617F2CA402}"/>
    <cellStyle name="Normál 5 2 3" xfId="632" xr:uid="{4B386504-51B8-476C-A186-9FE8537BDD76}"/>
    <cellStyle name="Normál 5 2 4" xfId="268" xr:uid="{158DEB74-ACEA-4B97-8671-BE4CFB2202E0}"/>
    <cellStyle name="Normál 5 3" xfId="48" xr:uid="{07E26083-8920-47AF-BE64-D6C27E5A5CCD}"/>
    <cellStyle name="Normál 5 3 2" xfId="481" xr:uid="{37C8FD4C-B12C-44DA-88C9-916AA0DAB194}"/>
    <cellStyle name="Normál 5 4" xfId="141" xr:uid="{3D77C81D-7A87-49CF-A93F-F8B3321B47BB}"/>
    <cellStyle name="Normál 6" xfId="41" xr:uid="{71F87771-B5B7-4F78-83FB-8F215E04210F}"/>
    <cellStyle name="Normál 6 2" xfId="49" xr:uid="{A3BA95F7-7974-419F-A669-491016DB0C65}"/>
    <cellStyle name="Normál 6 2 2" xfId="482" xr:uid="{8CCA387D-243B-4078-80EA-2EE5D1C4B3C7}"/>
    <cellStyle name="Normál 6 3" xfId="136" xr:uid="{6F9EEB86-48EA-438A-92B4-EB8E9B7BB0B5}"/>
    <cellStyle name="Normál 7" xfId="30" xr:uid="{C5B28606-5FF6-4CD0-B84B-D35DF9D909FA}"/>
    <cellStyle name="Normál 7 2" xfId="483" xr:uid="{5B71F58B-6AF5-451A-849B-B149F59529BF}"/>
    <cellStyle name="Normál 7 3" xfId="148" xr:uid="{A14BBBA1-04CA-45BD-8BC9-C1AD28D48217}"/>
    <cellStyle name="Normál 8" xfId="53" xr:uid="{B94D7255-67E4-4561-B2C8-405FA25BA0E0}"/>
    <cellStyle name="Normál 8 2" xfId="197" xr:uid="{82DDD8B2-4C19-41E7-BE82-4EB555565E3D}"/>
    <cellStyle name="Normál 8 2 2" xfId="379" xr:uid="{CB0B874E-7AA2-4570-B258-6FD33BE87CF2}"/>
    <cellStyle name="Normál 8 2 2 2" xfId="723" xr:uid="{54A30658-EFAF-4F58-AF1A-9630A07741DC}"/>
    <cellStyle name="Normál 8 2 3" xfId="575" xr:uid="{6119F2AB-AA0E-47C5-B7D5-FE2340A1B583}"/>
    <cellStyle name="Normál 8 3" xfId="486" xr:uid="{983B9379-34FF-4520-8504-B850E327F415}"/>
    <cellStyle name="Normál 8 4" xfId="149" xr:uid="{3F191D2E-5E5A-4A83-9D9D-6BA4C4000C01}"/>
    <cellStyle name="Normál 9" xfId="61" xr:uid="{08D7C84D-723A-447A-A841-11BCD8A506F6}"/>
    <cellStyle name="Normál 9 2" xfId="198" xr:uid="{66C363BA-DA8D-4A47-8159-2F707E26D973}"/>
    <cellStyle name="Normál 9 3" xfId="495" xr:uid="{AD4D97F5-069B-46A4-8E33-DD4FB45F2A9F}"/>
    <cellStyle name="Normál 9 4" xfId="150" xr:uid="{E847D5BF-16E1-4C4D-B8F4-74FF081A374A}"/>
    <cellStyle name="Pénznem 2" xfId="14" xr:uid="{E07994DD-3F68-4F5D-B864-B3D0E35FD954}"/>
    <cellStyle name="Pénznem 2 2" xfId="252" xr:uid="{ECDF0466-EDCA-4B21-B4C6-69FF1D4F9A31}"/>
    <cellStyle name="Pénznem 2 2 2" xfId="423" xr:uid="{253F8178-C78B-4972-8410-874F0AE9CDAE}"/>
    <cellStyle name="Pénznem 2 2 2 2" xfId="767" xr:uid="{BE9F31EE-18B8-40DD-AEFE-1F4D4F156F49}"/>
    <cellStyle name="Pénznem 2 2 3" xfId="619" xr:uid="{83CE5F18-3E5B-4482-B288-A94261B2BB9E}"/>
    <cellStyle name="Pénznem 2 3" xfId="386" xr:uid="{A6B77302-42C9-41D8-8951-C0ECEBA5C8EE}"/>
    <cellStyle name="Pénznem 2 3 2" xfId="730" xr:uid="{E2B4B3C9-2AB8-4CDA-B86E-EDAE4FA13708}"/>
    <cellStyle name="Pénznem 2 4" xfId="582" xr:uid="{C4C83E50-B344-4073-B268-2C8ECE84E9F0}"/>
    <cellStyle name="Pénznem 2 5" xfId="206" xr:uid="{62FD616E-9248-471B-94B6-9DE2A545FE89}"/>
    <cellStyle name="Pénznem 3" xfId="276" xr:uid="{6372EB3F-A9D2-4EC5-B753-24646AD288B4}"/>
    <cellStyle name="Pénznem 3 2" xfId="441" xr:uid="{7EEC5EF2-36A6-4366-8A7C-1AD143292017}"/>
    <cellStyle name="Pénznem 3 2 2" xfId="785" xr:uid="{37639C71-A5CC-47EA-8965-3FFDA87613D7}"/>
    <cellStyle name="Pénznem 3 3" xfId="463" xr:uid="{FD167BB3-6E39-4AA5-8444-2DD58A7357A0}"/>
    <cellStyle name="Pénznem 3 3 2" xfId="807" xr:uid="{F559F375-E64C-42B0-BBB0-07CB3511BE11}"/>
    <cellStyle name="Pénznem 3 4" xfId="637" xr:uid="{C6F2C20E-A77D-4F8B-A5FC-552330B3BBC7}"/>
    <cellStyle name="Percent 2" xfId="60" xr:uid="{61D0941C-D201-4C59-B680-C14B1CD11BD3}"/>
    <cellStyle name="Percent 2 2" xfId="98" xr:uid="{6D6CCB9F-DFB2-4226-8A30-20A09B65CF09}"/>
    <cellStyle name="Percent 3" xfId="109" xr:uid="{C59E1F9A-EB9C-4A20-86E2-8402DBE55765}"/>
    <cellStyle name="Rossz 2" xfId="158" xr:uid="{C94865CE-A8DD-4761-9474-8063DF403610}"/>
    <cellStyle name="Rossz 3" xfId="173" xr:uid="{5D6B9806-BF07-44EC-BADC-155C9CC388F7}"/>
    <cellStyle name="Százalék" xfId="5" builtinId="5"/>
    <cellStyle name="Százalék 2" xfId="11" xr:uid="{A7BB527B-B657-4796-8E43-471761A7C8DA}"/>
    <cellStyle name="Százalék 2 2" xfId="15" xr:uid="{EA5FB4BA-6E25-4B45-8640-F36421EB5FC5}"/>
    <cellStyle name="Százalék 2 2 2" xfId="118" xr:uid="{068E6241-E718-4908-A0B0-724AF452CB74}"/>
    <cellStyle name="Százalék 2 2 3" xfId="79" xr:uid="{7E9ECC93-F8C1-47FF-BC9E-71896EA8CDE2}"/>
    <cellStyle name="Százalék 2 3" xfId="78" xr:uid="{934D5D65-3A4D-4ACE-B969-C07BCCE81EBD}"/>
    <cellStyle name="Százalék 2 4" xfId="321" xr:uid="{A5835654-43A6-4174-BC34-60414931C5C8}"/>
    <cellStyle name="Százalék 2 4 2" xfId="665" xr:uid="{4B084179-FA25-4044-9BB5-913216E087D9}"/>
    <cellStyle name="Százalék 2 5" xfId="516" xr:uid="{F8FFD0A0-C999-464A-8387-A7999C7A37DC}"/>
    <cellStyle name="Százalék 2 6" xfId="73" xr:uid="{76D75DCE-166B-4417-BF7D-CF2126D14B88}"/>
    <cellStyle name="Százalék 3" xfId="55" xr:uid="{84F7D518-0561-4FDE-930B-FB57286CEFC8}"/>
    <cellStyle name="Százalék 3 2" xfId="196" xr:uid="{059278AE-20B0-4B3B-9BD5-B9FA7E012192}"/>
    <cellStyle name="Százalék 3 3" xfId="339" xr:uid="{159C0644-6C77-4719-A1E6-5C6F46434C41}"/>
    <cellStyle name="Százalék 3 3 2" xfId="683" xr:uid="{B75ED1C4-D04C-488E-96E0-2ADC58D94088}"/>
    <cellStyle name="Százalék 3 4" xfId="534" xr:uid="{FFB58150-9BB0-423B-8BF6-69B213FA4C6D}"/>
    <cellStyle name="Százalék 3 5" xfId="119" xr:uid="{5DE1BF87-8EA0-49FF-ADBC-5EFA24655038}"/>
    <cellStyle name="Százalék 4" xfId="131" xr:uid="{E0F4EEF5-130A-4426-85BE-18DAE8E1FE46}"/>
    <cellStyle name="Százalék 5" xfId="156" xr:uid="{C3DCF165-7BE8-4FE0-B528-50DDF256B74F}"/>
    <cellStyle name="Százalék 5 2" xfId="356" xr:uid="{FAD04E73-45B3-44AE-9548-57BF8985EF15}"/>
    <cellStyle name="Százalék 5 2 2" xfId="700" xr:uid="{CD385239-5B33-453A-976F-DE799F229620}"/>
    <cellStyle name="Százalék 5 3" xfId="551" xr:uid="{12D6B62C-04D9-4345-84C5-BB893CD6AA20}"/>
    <cellStyle name="Százalék 6" xfId="171" xr:uid="{B9C6BA94-47C1-4FCF-A47D-64AC06626C50}"/>
    <cellStyle name="Százalék 6 2" xfId="366" xr:uid="{39E96A81-D831-4192-B9B4-13DDAD4D85E9}"/>
    <cellStyle name="Százalék 6 2 2" xfId="710" xr:uid="{C210E455-5EBA-4E13-BDC4-F4DD0F5D482E}"/>
    <cellStyle name="Százalék 6 3" xfId="561" xr:uid="{16CC3994-301E-4EFE-84AA-AA21BE8C39CB}"/>
    <cellStyle name="Százalék 7" xfId="277" xr:uid="{F5F74CFB-3414-4B28-931F-93FCF1D91214}"/>
    <cellStyle name="Százalék 7 2" xfId="442" xr:uid="{85271989-4271-403B-A0D0-78E7FFE50E9C}"/>
    <cellStyle name="Százalék 7 2 2" xfId="786" xr:uid="{018B4DBB-BA88-4B5F-AFEE-FA3AF50230D1}"/>
    <cellStyle name="Százalék 7 3" xfId="638" xr:uid="{97ADB393-D0F4-44B9-A3D6-A266799D2DA1}"/>
  </cellStyles>
  <dxfs count="0"/>
  <tableStyles count="0" defaultTableStyle="TableStyleMedium2" defaultPivotStyle="PivotStyleLight16"/>
  <colors>
    <mruColors>
      <color rgb="FF5CD2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13601-63D7-4A4D-BAA7-CF2A8435FD79}">
  <sheetPr codeName="Munka1"/>
  <dimension ref="A2:Z186"/>
  <sheetViews>
    <sheetView showGridLines="0" topLeftCell="A3" workbookViewId="0">
      <selection activeCell="N60" sqref="N60"/>
    </sheetView>
  </sheetViews>
  <sheetFormatPr defaultColWidth="8.77734375" defaultRowHeight="14.4" outlineLevelRow="2" outlineLevelCol="2" x14ac:dyDescent="0.3"/>
  <cols>
    <col min="1" max="1" width="13.77734375" customWidth="1"/>
    <col min="2" max="2" width="46.33203125" bestFit="1" customWidth="1"/>
    <col min="3" max="3" width="33.44140625" customWidth="1"/>
    <col min="4" max="5" width="9.109375" hidden="1" customWidth="1" outlineLevel="2"/>
    <col min="6" max="6" width="9.6640625" hidden="1" customWidth="1" outlineLevel="2"/>
    <col min="7" max="7" width="9.77734375" hidden="1" customWidth="1" outlineLevel="2" collapsed="1"/>
    <col min="8" max="8" width="9.33203125" hidden="1" customWidth="1" outlineLevel="2"/>
    <col min="9" max="10" width="9.44140625" hidden="1" customWidth="1" outlineLevel="2"/>
    <col min="11" max="11" width="9.109375" customWidth="1" outlineLevel="1" collapsed="1"/>
    <col min="12" max="12" width="9.109375" customWidth="1" outlineLevel="1"/>
    <col min="13" max="14" width="9.5546875" customWidth="1" outlineLevel="1"/>
    <col min="15" max="15" width="8.77734375" customWidth="1" outlineLevel="1" collapsed="1"/>
    <col min="16" max="17" width="8.77734375" customWidth="1" outlineLevel="1"/>
    <col min="18" max="18" width="12.44140625" customWidth="1" outlineLevel="1"/>
  </cols>
  <sheetData>
    <row r="2" spans="1:26" x14ac:dyDescent="0.3">
      <c r="D2" s="420" t="s">
        <v>94</v>
      </c>
      <c r="E2" s="420"/>
      <c r="F2" s="420"/>
      <c r="G2" s="420"/>
      <c r="H2" s="420"/>
      <c r="O2" s="420" t="s">
        <v>95</v>
      </c>
      <c r="P2" s="420"/>
      <c r="Q2" s="420"/>
      <c r="R2" s="420"/>
      <c r="S2" s="420"/>
    </row>
    <row r="3" spans="1:26" x14ac:dyDescent="0.3">
      <c r="P3">
        <v>296.91000000000003</v>
      </c>
      <c r="Q3">
        <v>314.89</v>
      </c>
      <c r="R3">
        <v>313.12</v>
      </c>
      <c r="S3">
        <v>311.02</v>
      </c>
      <c r="T3">
        <v>310.14</v>
      </c>
      <c r="U3">
        <v>321.51</v>
      </c>
      <c r="V3">
        <v>330.52</v>
      </c>
      <c r="W3">
        <v>365.13</v>
      </c>
      <c r="X3">
        <v>369</v>
      </c>
      <c r="Y3" s="344">
        <v>400.25</v>
      </c>
      <c r="Z3" s="344">
        <v>382.78</v>
      </c>
    </row>
    <row r="4" spans="1:26" x14ac:dyDescent="0.3">
      <c r="A4" s="1" t="s">
        <v>0</v>
      </c>
      <c r="B4" s="147"/>
      <c r="C4" s="147" t="s">
        <v>1</v>
      </c>
      <c r="D4" s="3">
        <v>2013</v>
      </c>
      <c r="E4" s="3">
        <v>2014</v>
      </c>
      <c r="F4" s="3">
        <v>2015</v>
      </c>
      <c r="G4" s="3">
        <v>2016</v>
      </c>
      <c r="H4" s="3">
        <v>2017</v>
      </c>
      <c r="I4" s="3">
        <v>2018</v>
      </c>
      <c r="J4" s="3">
        <v>2019</v>
      </c>
      <c r="K4" s="3">
        <v>2020</v>
      </c>
      <c r="L4" s="3">
        <v>2021</v>
      </c>
      <c r="M4" s="3">
        <v>2022</v>
      </c>
      <c r="N4" s="3">
        <v>2023</v>
      </c>
      <c r="P4" s="3">
        <v>2013</v>
      </c>
      <c r="Q4" s="3">
        <v>2014</v>
      </c>
      <c r="R4" s="3">
        <v>2015</v>
      </c>
      <c r="S4" s="3">
        <v>2016</v>
      </c>
      <c r="T4" s="3">
        <v>2017</v>
      </c>
      <c r="U4" s="3">
        <v>2018</v>
      </c>
      <c r="V4" s="3">
        <v>2019</v>
      </c>
      <c r="W4" s="3">
        <v>2020</v>
      </c>
      <c r="X4" s="3">
        <v>2021</v>
      </c>
      <c r="Y4" s="3">
        <v>2022</v>
      </c>
      <c r="Z4" s="3">
        <v>2023</v>
      </c>
    </row>
    <row r="5" spans="1:26" x14ac:dyDescent="0.3">
      <c r="B5" s="147" t="s">
        <v>93</v>
      </c>
      <c r="C5" s="148" t="s">
        <v>461</v>
      </c>
      <c r="D5" s="3" t="s">
        <v>3</v>
      </c>
      <c r="E5" s="3" t="s">
        <v>3</v>
      </c>
      <c r="F5" s="3" t="s">
        <v>3</v>
      </c>
      <c r="G5" s="3" t="s">
        <v>3</v>
      </c>
      <c r="H5" s="3" t="s">
        <v>3</v>
      </c>
      <c r="I5" s="3" t="s">
        <v>3</v>
      </c>
      <c r="J5" s="3" t="s">
        <v>3</v>
      </c>
      <c r="K5" s="3" t="s">
        <v>3</v>
      </c>
      <c r="L5" s="3" t="s">
        <v>3</v>
      </c>
      <c r="M5" s="3" t="s">
        <v>3</v>
      </c>
      <c r="N5" s="3" t="s">
        <v>3</v>
      </c>
      <c r="P5" s="3" t="s">
        <v>3</v>
      </c>
      <c r="Q5" s="3" t="s">
        <v>3</v>
      </c>
      <c r="R5" s="3" t="s">
        <v>3</v>
      </c>
      <c r="S5" s="3" t="s">
        <v>3</v>
      </c>
      <c r="T5" s="3" t="s">
        <v>3</v>
      </c>
      <c r="U5" s="3" t="s">
        <v>3</v>
      </c>
      <c r="V5" s="3" t="s">
        <v>3</v>
      </c>
      <c r="W5" s="3" t="s">
        <v>3</v>
      </c>
      <c r="X5" s="3" t="s">
        <v>3</v>
      </c>
      <c r="Y5" s="3" t="s">
        <v>3</v>
      </c>
      <c r="Z5" s="3" t="s">
        <v>3</v>
      </c>
    </row>
    <row r="6" spans="1:26" x14ac:dyDescent="0.3">
      <c r="B6" s="149" t="s">
        <v>4</v>
      </c>
      <c r="C6" s="150" t="s">
        <v>5</v>
      </c>
      <c r="D6" s="7">
        <f t="shared" ref="D6:G6" si="0">SUM(D7:D17)</f>
        <v>6458.8820000000005</v>
      </c>
      <c r="E6" s="7">
        <f t="shared" si="0"/>
        <v>6189.7640000000001</v>
      </c>
      <c r="F6" s="7">
        <f t="shared" si="0"/>
        <v>7909.6419999999998</v>
      </c>
      <c r="G6" s="7">
        <f t="shared" si="0"/>
        <v>6666.4420000000009</v>
      </c>
      <c r="H6" s="7">
        <f t="shared" ref="H6:N6" si="1">SUM(H7:H17)</f>
        <v>7546.1149999999998</v>
      </c>
      <c r="I6" s="7">
        <f t="shared" si="1"/>
        <v>13715.608</v>
      </c>
      <c r="J6" s="7">
        <f t="shared" si="1"/>
        <v>24536.760999999999</v>
      </c>
      <c r="K6" s="7">
        <f t="shared" si="1"/>
        <v>31065.255000000001</v>
      </c>
      <c r="L6" s="7">
        <f t="shared" si="1"/>
        <v>31370.772000000001</v>
      </c>
      <c r="M6" s="7">
        <f t="shared" si="1"/>
        <v>34941.456999999995</v>
      </c>
      <c r="N6" s="7">
        <f t="shared" si="1"/>
        <v>43572.925999999999</v>
      </c>
      <c r="P6" s="7">
        <f t="shared" ref="P6" si="2">SUM(P7:P17)</f>
        <v>21753.669462126567</v>
      </c>
      <c r="Q6" s="7">
        <f t="shared" ref="Q6" si="3">SUM(Q7:Q17)</f>
        <v>19656.908761789829</v>
      </c>
      <c r="R6" s="7">
        <f t="shared" ref="R6" si="4">SUM(R7:R17)</f>
        <v>25260.737097598369</v>
      </c>
      <c r="S6" s="7">
        <f t="shared" ref="S6" si="5">SUM(S7:S17)</f>
        <v>21290.37429739397</v>
      </c>
      <c r="T6" s="7">
        <f>SUM(T7:T17)</f>
        <v>24262.47508198829</v>
      </c>
      <c r="U6" s="7">
        <f>IFERROR(I6/T$3*1000,0)</f>
        <v>44223.924679177144</v>
      </c>
      <c r="V6" s="7">
        <f t="shared" ref="V6:Z12" si="6">IFERROR(J6/V$3*1000,0)</f>
        <v>74236.841946024448</v>
      </c>
      <c r="W6" s="7">
        <f t="shared" si="6"/>
        <v>85079.985210746861</v>
      </c>
      <c r="X6" s="7">
        <f t="shared" si="6"/>
        <v>85015.642276422761</v>
      </c>
      <c r="Y6" s="7">
        <f t="shared" si="6"/>
        <v>87299.080574640844</v>
      </c>
      <c r="Z6" s="7">
        <f t="shared" si="6"/>
        <v>113832.81780657297</v>
      </c>
    </row>
    <row r="7" spans="1:26" hidden="1" outlineLevel="1" x14ac:dyDescent="0.3">
      <c r="B7" t="s">
        <v>6</v>
      </c>
      <c r="C7" t="s">
        <v>7</v>
      </c>
      <c r="D7" s="9">
        <v>5858.9740000000002</v>
      </c>
      <c r="E7" s="9">
        <v>5669.8789999999999</v>
      </c>
      <c r="F7" s="9">
        <v>5482.37</v>
      </c>
      <c r="G7" s="9">
        <v>5012.8900000000003</v>
      </c>
      <c r="H7" s="9">
        <v>5850.5119999999997</v>
      </c>
      <c r="I7" s="9">
        <v>10715.944</v>
      </c>
      <c r="J7" s="9">
        <v>17711.706999999999</v>
      </c>
      <c r="K7" s="9">
        <v>25435.922999999999</v>
      </c>
      <c r="L7" s="9">
        <v>25738.088</v>
      </c>
      <c r="M7" s="9">
        <v>27843.737000000001</v>
      </c>
      <c r="N7" s="9">
        <v>35108.875</v>
      </c>
      <c r="P7" s="9">
        <f t="shared" ref="P7:R12" si="7">IFERROR(D7/P$3*1000,0)</f>
        <v>19733.164932134314</v>
      </c>
      <c r="Q7" s="9">
        <f t="shared" si="7"/>
        <v>18005.903648893265</v>
      </c>
      <c r="R7" s="9">
        <f t="shared" si="7"/>
        <v>17508.846448645887</v>
      </c>
      <c r="S7" s="9">
        <f t="shared" ref="S7:T12" si="8">IFERROR(G7/R$3*1000,0)</f>
        <v>16009.485181400101</v>
      </c>
      <c r="T7" s="9">
        <f t="shared" si="8"/>
        <v>18810.725998328082</v>
      </c>
      <c r="U7" s="9">
        <f>IFERROR(I7/U$3*1000,0)</f>
        <v>33330.048832073648</v>
      </c>
      <c r="V7" s="9">
        <f t="shared" si="6"/>
        <v>53587.398644560082</v>
      </c>
      <c r="W7" s="9">
        <f t="shared" si="6"/>
        <v>69662.648919562896</v>
      </c>
      <c r="X7" s="9">
        <f t="shared" si="6"/>
        <v>69750.915989159897</v>
      </c>
      <c r="Y7" s="9">
        <f t="shared" si="6"/>
        <v>69565.863835103053</v>
      </c>
      <c r="Z7" s="9">
        <f t="shared" si="6"/>
        <v>91720.766497727149</v>
      </c>
    </row>
    <row r="8" spans="1:26" hidden="1" outlineLevel="2" x14ac:dyDescent="0.3">
      <c r="B8" t="s">
        <v>8</v>
      </c>
      <c r="C8" t="s">
        <v>9</v>
      </c>
      <c r="D8" s="9">
        <v>11.135</v>
      </c>
      <c r="E8" s="9">
        <v>6.2030000000000003</v>
      </c>
      <c r="F8" s="9">
        <v>22.283999999999999</v>
      </c>
      <c r="G8" s="9">
        <v>31.811</v>
      </c>
      <c r="H8" s="9">
        <v>33.707999999999998</v>
      </c>
      <c r="I8" s="9">
        <v>38.107999999999997</v>
      </c>
      <c r="J8" s="9">
        <v>73.105000000000004</v>
      </c>
      <c r="K8" s="9">
        <v>87.369</v>
      </c>
      <c r="L8" s="9">
        <v>0</v>
      </c>
      <c r="M8" s="9">
        <v>0</v>
      </c>
      <c r="N8" s="9">
        <v>0</v>
      </c>
      <c r="P8" s="9">
        <f t="shared" si="7"/>
        <v>37.502947020982788</v>
      </c>
      <c r="Q8" s="9">
        <f t="shared" si="7"/>
        <v>19.698942487852904</v>
      </c>
      <c r="R8" s="9">
        <f t="shared" si="7"/>
        <v>71.167603474706169</v>
      </c>
      <c r="S8" s="9">
        <f t="shared" si="8"/>
        <v>101.593638221768</v>
      </c>
      <c r="T8" s="9">
        <f t="shared" si="8"/>
        <v>108.37888238698476</v>
      </c>
      <c r="U8" s="9">
        <f>IFERROR(I8/T$3*1000,0)</f>
        <v>122.87354098149223</v>
      </c>
      <c r="V8" s="9">
        <f t="shared" si="6"/>
        <v>221.18177417402882</v>
      </c>
      <c r="W8" s="9">
        <f t="shared" si="6"/>
        <v>239.28189959740368</v>
      </c>
      <c r="X8" s="9">
        <f t="shared" si="6"/>
        <v>0</v>
      </c>
      <c r="Y8" s="9">
        <f t="shared" si="6"/>
        <v>0</v>
      </c>
      <c r="Z8" s="9">
        <f t="shared" si="6"/>
        <v>0</v>
      </c>
    </row>
    <row r="9" spans="1:26" hidden="1" outlineLevel="2" x14ac:dyDescent="0.3">
      <c r="B9" t="s">
        <v>10</v>
      </c>
      <c r="C9" s="151" t="s">
        <v>11</v>
      </c>
      <c r="D9" s="9" t="s">
        <v>12</v>
      </c>
      <c r="E9" s="9" t="s">
        <v>12</v>
      </c>
      <c r="F9" s="9">
        <v>1298.8</v>
      </c>
      <c r="G9" s="9">
        <v>729.721</v>
      </c>
      <c r="H9" s="9">
        <v>482.09199999999998</v>
      </c>
      <c r="I9" s="9">
        <v>253.77199999999999</v>
      </c>
      <c r="J9" s="9">
        <v>104.376</v>
      </c>
      <c r="K9" s="9">
        <v>0</v>
      </c>
      <c r="L9" s="9">
        <v>0</v>
      </c>
      <c r="M9" s="9">
        <v>0</v>
      </c>
      <c r="N9" s="9">
        <v>0</v>
      </c>
      <c r="P9" s="9">
        <f t="shared" si="7"/>
        <v>0</v>
      </c>
      <c r="Q9" s="9">
        <f t="shared" si="7"/>
        <v>0</v>
      </c>
      <c r="R9" s="9">
        <f t="shared" si="7"/>
        <v>4147.9305058763412</v>
      </c>
      <c r="S9" s="9">
        <f t="shared" si="8"/>
        <v>2330.483520694941</v>
      </c>
      <c r="T9" s="9">
        <f t="shared" si="8"/>
        <v>1550.0353675004824</v>
      </c>
      <c r="U9" s="9">
        <f>IFERROR(I9/T$3*1000,0)</f>
        <v>818.24982266073391</v>
      </c>
      <c r="V9" s="9">
        <f t="shared" si="6"/>
        <v>315.79329541328821</v>
      </c>
      <c r="W9" s="9">
        <f t="shared" si="6"/>
        <v>0</v>
      </c>
      <c r="X9" s="9">
        <f t="shared" si="6"/>
        <v>0</v>
      </c>
      <c r="Y9" s="9">
        <f t="shared" si="6"/>
        <v>0</v>
      </c>
      <c r="Z9" s="9">
        <f t="shared" si="6"/>
        <v>0</v>
      </c>
    </row>
    <row r="10" spans="1:26" hidden="1" outlineLevel="2" x14ac:dyDescent="0.3">
      <c r="B10" t="s">
        <v>13</v>
      </c>
      <c r="C10" t="s">
        <v>14</v>
      </c>
      <c r="D10" s="9">
        <v>36.223999999999997</v>
      </c>
      <c r="E10" s="9">
        <v>70.432000000000002</v>
      </c>
      <c r="F10" s="9">
        <v>182.43</v>
      </c>
      <c r="G10" s="9">
        <v>46.723999999999997</v>
      </c>
      <c r="H10" s="9">
        <v>54.981000000000002</v>
      </c>
      <c r="I10" s="9">
        <v>4.0190000000000001</v>
      </c>
      <c r="J10" s="9">
        <v>342.1</v>
      </c>
      <c r="K10" s="9">
        <v>0</v>
      </c>
      <c r="L10" s="9">
        <v>0</v>
      </c>
      <c r="M10" s="9">
        <v>0</v>
      </c>
      <c r="N10" s="9">
        <v>0</v>
      </c>
      <c r="P10" s="9">
        <f t="shared" si="7"/>
        <v>122.00330066350071</v>
      </c>
      <c r="Q10" s="9">
        <f t="shared" si="7"/>
        <v>223.67175839181937</v>
      </c>
      <c r="R10" s="9">
        <f t="shared" si="7"/>
        <v>582.6200817577926</v>
      </c>
      <c r="S10" s="9">
        <f t="shared" si="8"/>
        <v>149.22074603985692</v>
      </c>
      <c r="T10" s="9">
        <f t="shared" si="8"/>
        <v>176.77641309240565</v>
      </c>
      <c r="U10" s="9">
        <f>IFERROR(I10/T$3*1000,0)</f>
        <v>12.958663829238409</v>
      </c>
      <c r="V10" s="9">
        <f t="shared" si="6"/>
        <v>1035.0357013191335</v>
      </c>
      <c r="W10" s="9">
        <f t="shared" si="6"/>
        <v>0</v>
      </c>
      <c r="X10" s="9">
        <f t="shared" si="6"/>
        <v>0</v>
      </c>
      <c r="Y10" s="9">
        <f t="shared" si="6"/>
        <v>0</v>
      </c>
      <c r="Z10" s="9">
        <f t="shared" si="6"/>
        <v>0</v>
      </c>
    </row>
    <row r="11" spans="1:26" hidden="1" outlineLevel="1" collapsed="1" x14ac:dyDescent="0.3">
      <c r="B11" t="s">
        <v>15</v>
      </c>
      <c r="C11" t="s">
        <v>16</v>
      </c>
      <c r="D11" s="9">
        <v>362.28</v>
      </c>
      <c r="E11" s="9">
        <v>284.947</v>
      </c>
      <c r="F11" s="9">
        <v>247.43700000000001</v>
      </c>
      <c r="G11" s="9">
        <v>218.41800000000001</v>
      </c>
      <c r="H11" s="9">
        <v>420.62099999999998</v>
      </c>
      <c r="I11" s="9">
        <v>868.52599999999995</v>
      </c>
      <c r="J11" s="9">
        <v>3492.357</v>
      </c>
      <c r="K11" s="9">
        <v>3037.2689999999998</v>
      </c>
      <c r="L11" s="9">
        <v>2516.8200000000002</v>
      </c>
      <c r="M11" s="9">
        <v>2417.6750000000002</v>
      </c>
      <c r="N11" s="9">
        <v>2705.37</v>
      </c>
      <c r="O11" s="12"/>
      <c r="P11" s="9">
        <f t="shared" si="7"/>
        <v>1220.1677275942202</v>
      </c>
      <c r="Q11" s="9">
        <f t="shared" si="7"/>
        <v>904.90965098923436</v>
      </c>
      <c r="R11" s="9">
        <f t="shared" si="7"/>
        <v>790.23058252427188</v>
      </c>
      <c r="S11" s="9">
        <f t="shared" si="8"/>
        <v>697.55365355135416</v>
      </c>
      <c r="T11" s="9">
        <f t="shared" si="8"/>
        <v>1352.392129123529</v>
      </c>
      <c r="U11" s="9">
        <f>IFERROR(I11/T$3*1000,0)</f>
        <v>2800.4320629393173</v>
      </c>
      <c r="V11" s="9">
        <f t="shared" si="6"/>
        <v>10566.250151276776</v>
      </c>
      <c r="W11" s="9">
        <f t="shared" si="6"/>
        <v>8318.3222413934764</v>
      </c>
      <c r="X11" s="9">
        <f t="shared" si="6"/>
        <v>6820.6504065040654</v>
      </c>
      <c r="Y11" s="9">
        <f t="shared" si="6"/>
        <v>6040.4122423485323</v>
      </c>
      <c r="Z11" s="9">
        <f t="shared" si="6"/>
        <v>7067.689011965098</v>
      </c>
    </row>
    <row r="12" spans="1:26" hidden="1" outlineLevel="1" x14ac:dyDescent="0.3">
      <c r="B12" t="s">
        <v>17</v>
      </c>
      <c r="C12" t="s">
        <v>18</v>
      </c>
      <c r="D12" s="9" t="s">
        <v>12</v>
      </c>
      <c r="E12" s="9" t="s">
        <v>12</v>
      </c>
      <c r="F12" s="9">
        <v>495.53100000000001</v>
      </c>
      <c r="G12" s="9">
        <v>367.85399999999998</v>
      </c>
      <c r="H12" s="9">
        <v>283.64</v>
      </c>
      <c r="I12" s="9">
        <v>1476.732</v>
      </c>
      <c r="J12" s="9">
        <v>1407.741</v>
      </c>
      <c r="K12" s="9">
        <v>1212.9870000000001</v>
      </c>
      <c r="L12" s="9">
        <v>1052.2159999999999</v>
      </c>
      <c r="M12" s="9">
        <v>925.86</v>
      </c>
      <c r="N12" s="9">
        <v>799.50400000000002</v>
      </c>
      <c r="P12" s="9">
        <f t="shared" si="7"/>
        <v>0</v>
      </c>
      <c r="Q12" s="9">
        <f t="shared" si="7"/>
        <v>0</v>
      </c>
      <c r="R12" s="9">
        <f t="shared" si="7"/>
        <v>1582.559402146142</v>
      </c>
      <c r="S12" s="9">
        <f t="shared" si="8"/>
        <v>1174.8019928461931</v>
      </c>
      <c r="T12" s="9">
        <f t="shared" si="8"/>
        <v>911.96707607227836</v>
      </c>
      <c r="U12" s="9">
        <f>IFERROR(I12/T$3*1000,0)</f>
        <v>4761.501257496614</v>
      </c>
      <c r="V12" s="9">
        <f t="shared" si="6"/>
        <v>4259.1703981604742</v>
      </c>
      <c r="W12" s="9">
        <f t="shared" si="6"/>
        <v>3322.0688521896313</v>
      </c>
      <c r="X12" s="9">
        <f t="shared" si="6"/>
        <v>2851.5338753387528</v>
      </c>
      <c r="Y12" s="9">
        <f t="shared" si="6"/>
        <v>2313.2042473454094</v>
      </c>
      <c r="Z12" s="9">
        <f t="shared" si="6"/>
        <v>2088.6775693609911</v>
      </c>
    </row>
    <row r="13" spans="1:26" hidden="1" outlineLevel="1" x14ac:dyDescent="0.3">
      <c r="B13" s="94" t="s">
        <v>284</v>
      </c>
      <c r="C13" s="94" t="s">
        <v>308</v>
      </c>
      <c r="D13" s="9"/>
      <c r="E13" s="9"/>
      <c r="F13" s="9"/>
      <c r="G13" s="9"/>
      <c r="H13" s="9"/>
      <c r="I13" s="9"/>
      <c r="J13" s="9">
        <v>924.76800000000003</v>
      </c>
      <c r="K13" s="9">
        <v>1063.615</v>
      </c>
      <c r="L13" s="9">
        <v>1766.502</v>
      </c>
      <c r="M13" s="9">
        <v>2016.58</v>
      </c>
      <c r="N13" s="9">
        <v>2431.7689999999998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idden="1" outlineLevel="1" x14ac:dyDescent="0.3">
      <c r="B14" t="s">
        <v>19</v>
      </c>
      <c r="C14" t="s">
        <v>19</v>
      </c>
      <c r="D14" s="9">
        <v>75.838999999999999</v>
      </c>
      <c r="E14" s="9">
        <v>75.838999999999999</v>
      </c>
      <c r="F14" s="9">
        <v>75.838999999999999</v>
      </c>
      <c r="G14" s="9">
        <v>0</v>
      </c>
      <c r="H14" s="11" t="s">
        <v>20</v>
      </c>
      <c r="I14" s="11">
        <v>0</v>
      </c>
      <c r="J14" s="11">
        <v>0</v>
      </c>
      <c r="K14" s="11">
        <v>0</v>
      </c>
      <c r="L14" s="11">
        <v>0</v>
      </c>
      <c r="M14" s="11">
        <v>735.91300000000001</v>
      </c>
      <c r="N14" s="9">
        <v>1019.181</v>
      </c>
      <c r="P14" s="9">
        <f t="shared" ref="P14:R17" si="9">IFERROR(D14/P$3*1000,0)</f>
        <v>255.42757064430293</v>
      </c>
      <c r="Q14" s="9">
        <f t="shared" si="9"/>
        <v>240.84283400552576</v>
      </c>
      <c r="R14" s="9">
        <f t="shared" si="9"/>
        <v>242.20426673479815</v>
      </c>
      <c r="S14" s="9">
        <f t="shared" ref="S14:U17" si="10">IFERROR(G14/R$3*1000,0)</f>
        <v>0</v>
      </c>
      <c r="T14" s="9">
        <f t="shared" si="10"/>
        <v>0</v>
      </c>
      <c r="U14" s="9">
        <f t="shared" si="10"/>
        <v>0</v>
      </c>
      <c r="V14" s="9">
        <f t="shared" ref="V14:Z17" si="11">IFERROR(J14/V$3*1000,0)</f>
        <v>0</v>
      </c>
      <c r="W14" s="9">
        <f t="shared" si="11"/>
        <v>0</v>
      </c>
      <c r="X14" s="9">
        <f t="shared" si="11"/>
        <v>0</v>
      </c>
      <c r="Y14" s="9">
        <f t="shared" si="11"/>
        <v>1838.633354153654</v>
      </c>
      <c r="Z14" s="9">
        <f t="shared" si="11"/>
        <v>2662.5764146507136</v>
      </c>
    </row>
    <row r="15" spans="1:26" hidden="1" outlineLevel="1" x14ac:dyDescent="0.3">
      <c r="B15" t="s">
        <v>21</v>
      </c>
      <c r="C15" t="s">
        <v>22</v>
      </c>
      <c r="D15" s="9">
        <v>114.43</v>
      </c>
      <c r="E15" s="9">
        <v>82.463999999999999</v>
      </c>
      <c r="F15" s="9">
        <v>99.850999999999999</v>
      </c>
      <c r="G15" s="9">
        <v>72.89</v>
      </c>
      <c r="H15" s="9">
        <v>234.875</v>
      </c>
      <c r="I15" s="9">
        <v>139.756</v>
      </c>
      <c r="J15" s="9">
        <v>286.85599999999999</v>
      </c>
      <c r="K15" s="9">
        <v>132.81100000000001</v>
      </c>
      <c r="L15" s="9">
        <v>71.394999999999996</v>
      </c>
      <c r="M15" s="9">
        <v>31.99</v>
      </c>
      <c r="N15" s="9">
        <v>335.53699999999998</v>
      </c>
      <c r="P15" s="9">
        <f t="shared" si="9"/>
        <v>385.40298406924654</v>
      </c>
      <c r="Q15" s="9">
        <f t="shared" si="9"/>
        <v>261.88192702213468</v>
      </c>
      <c r="R15" s="9">
        <f t="shared" si="9"/>
        <v>318.89052120592743</v>
      </c>
      <c r="S15" s="9">
        <f t="shared" si="10"/>
        <v>232.7861522738886</v>
      </c>
      <c r="T15" s="9">
        <f t="shared" si="10"/>
        <v>755.17651597967983</v>
      </c>
      <c r="U15" s="9">
        <f t="shared" si="10"/>
        <v>450.62229960662933</v>
      </c>
      <c r="V15" s="9">
        <f t="shared" si="11"/>
        <v>867.89301706402034</v>
      </c>
      <c r="W15" s="9">
        <f t="shared" si="11"/>
        <v>363.73620354394325</v>
      </c>
      <c r="X15" s="9">
        <f t="shared" si="11"/>
        <v>193.48238482384821</v>
      </c>
      <c r="Y15" s="9">
        <f t="shared" si="11"/>
        <v>79.925046845721425</v>
      </c>
      <c r="Z15" s="9">
        <f t="shared" si="11"/>
        <v>876.5792361147395</v>
      </c>
    </row>
    <row r="16" spans="1:26" hidden="1" outlineLevel="1" x14ac:dyDescent="0.3">
      <c r="B16" t="s">
        <v>23</v>
      </c>
      <c r="C16" t="s">
        <v>24</v>
      </c>
      <c r="D16" s="9">
        <v>0</v>
      </c>
      <c r="E16" s="9" t="s">
        <v>12</v>
      </c>
      <c r="F16" s="9">
        <v>5.0999999999999996</v>
      </c>
      <c r="G16" s="9">
        <v>186.03399999999999</v>
      </c>
      <c r="H16" s="9">
        <v>185.58600000000001</v>
      </c>
      <c r="I16" s="9">
        <v>218.65100000000001</v>
      </c>
      <c r="J16" s="9">
        <v>193.65100000000001</v>
      </c>
      <c r="K16" s="11">
        <v>95.180999999999997</v>
      </c>
      <c r="L16" s="11">
        <v>225.65100000000001</v>
      </c>
      <c r="M16" s="11">
        <v>969.60199999999998</v>
      </c>
      <c r="N16" s="9">
        <v>1172.69</v>
      </c>
      <c r="P16" s="9">
        <f t="shared" si="9"/>
        <v>0</v>
      </c>
      <c r="Q16" s="9">
        <f t="shared" si="9"/>
        <v>0</v>
      </c>
      <c r="R16" s="9">
        <f t="shared" si="9"/>
        <v>16.28768523249872</v>
      </c>
      <c r="S16" s="9">
        <f t="shared" si="10"/>
        <v>594.1300459887583</v>
      </c>
      <c r="T16" s="9">
        <f t="shared" si="10"/>
        <v>596.70117677319786</v>
      </c>
      <c r="U16" s="9">
        <f t="shared" si="10"/>
        <v>705.00741600567494</v>
      </c>
      <c r="V16" s="9">
        <f t="shared" si="11"/>
        <v>585.89797894227286</v>
      </c>
      <c r="W16" s="9">
        <f t="shared" si="11"/>
        <v>260.67701914386652</v>
      </c>
      <c r="X16" s="9">
        <f t="shared" si="11"/>
        <v>611.52032520325201</v>
      </c>
      <c r="Y16" s="9">
        <f t="shared" si="11"/>
        <v>2422.4909431605247</v>
      </c>
      <c r="Z16" s="9">
        <f t="shared" si="11"/>
        <v>3063.6135639270601</v>
      </c>
    </row>
    <row r="17" spans="2:26" hidden="1" outlineLevel="1" x14ac:dyDescent="0.3">
      <c r="B17" t="s">
        <v>25</v>
      </c>
      <c r="C17" t="s">
        <v>304</v>
      </c>
      <c r="D17" s="9">
        <v>0</v>
      </c>
      <c r="E17" s="9">
        <v>0</v>
      </c>
      <c r="F17" s="9">
        <v>0</v>
      </c>
      <c r="G17" s="9">
        <v>0.1</v>
      </c>
      <c r="H17" s="9">
        <v>0.1</v>
      </c>
      <c r="I17" s="9">
        <v>0.1</v>
      </c>
      <c r="J17" s="9">
        <v>0.1</v>
      </c>
      <c r="K17" s="9">
        <v>0.1</v>
      </c>
      <c r="L17" s="9">
        <v>0.1</v>
      </c>
      <c r="M17" s="9">
        <v>0.1</v>
      </c>
      <c r="N17" s="9"/>
      <c r="P17" s="9">
        <f t="shared" si="9"/>
        <v>0</v>
      </c>
      <c r="Q17" s="9">
        <f t="shared" si="9"/>
        <v>0</v>
      </c>
      <c r="R17" s="9">
        <f t="shared" si="9"/>
        <v>0</v>
      </c>
      <c r="S17" s="9">
        <f t="shared" si="10"/>
        <v>0.31936637710781807</v>
      </c>
      <c r="T17" s="9">
        <f t="shared" si="10"/>
        <v>0.32152273165712819</v>
      </c>
      <c r="U17" s="9">
        <f t="shared" si="10"/>
        <v>0.32243502934158769</v>
      </c>
      <c r="V17" s="9">
        <f t="shared" si="11"/>
        <v>0.30255355197870026</v>
      </c>
      <c r="W17" s="9">
        <f t="shared" si="11"/>
        <v>0.27387505819844987</v>
      </c>
      <c r="X17" s="9">
        <f t="shared" si="11"/>
        <v>0.27100271002710025</v>
      </c>
      <c r="Y17" s="9">
        <f t="shared" si="11"/>
        <v>0.24984384759525297</v>
      </c>
      <c r="Z17" s="9">
        <f t="shared" si="11"/>
        <v>0</v>
      </c>
    </row>
    <row r="18" spans="2:26" hidden="1" outlineLevel="1" collapsed="1" x14ac:dyDescent="0.3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collapsed="1" x14ac:dyDescent="0.3">
      <c r="B19" s="150" t="s">
        <v>26</v>
      </c>
      <c r="C19" s="150" t="s">
        <v>27</v>
      </c>
      <c r="D19" s="13">
        <f t="shared" ref="D19:K19" si="12">SUM(D20:D29)</f>
        <v>2077.7199999999998</v>
      </c>
      <c r="E19" s="13">
        <f t="shared" si="12"/>
        <v>3598.5430000000001</v>
      </c>
      <c r="F19" s="13">
        <f t="shared" si="12"/>
        <v>6029.5740000000005</v>
      </c>
      <c r="G19" s="13">
        <f t="shared" si="12"/>
        <v>9481.3909999999996</v>
      </c>
      <c r="H19" s="13">
        <f t="shared" si="12"/>
        <v>9106.0049999999992</v>
      </c>
      <c r="I19" s="13">
        <f t="shared" si="12"/>
        <v>9143.49</v>
      </c>
      <c r="J19" s="13">
        <f t="shared" si="12"/>
        <v>13037.745999999999</v>
      </c>
      <c r="K19" s="13">
        <f t="shared" si="12"/>
        <v>13819.105</v>
      </c>
      <c r="L19" s="13">
        <f t="shared" ref="L19:M19" si="13">SUM(L20:L29)</f>
        <v>29389.976000000002</v>
      </c>
      <c r="M19" s="13">
        <f t="shared" si="13"/>
        <v>65078.937000000005</v>
      </c>
      <c r="N19" s="13">
        <f>SUM(N20:N30)</f>
        <v>48404.853000000003</v>
      </c>
      <c r="P19" s="13">
        <f>SUM(P20:P29)</f>
        <v>6997.8107844127844</v>
      </c>
      <c r="Q19" s="13">
        <f>SUM(Q20:Q29)</f>
        <v>11427.936739813904</v>
      </c>
      <c r="R19" s="13">
        <f>SUM(R20:R29)</f>
        <v>19256.432038834948</v>
      </c>
      <c r="S19" s="13">
        <f>SUM(S20:S29)</f>
        <v>30280.374936126726</v>
      </c>
      <c r="T19" s="13">
        <f>SUM(T20:T29)</f>
        <v>29277.876020834676</v>
      </c>
      <c r="U19" s="13">
        <f>IFERROR(I19/T$3*1000,0)</f>
        <v>29481.814664345133</v>
      </c>
      <c r="V19" s="13">
        <f t="shared" ref="V19:Z22" si="14">IFERROR(J19/V$3*1000,0)</f>
        <v>39446.163620960913</v>
      </c>
      <c r="W19" s="13">
        <f t="shared" si="14"/>
        <v>37847.08186125489</v>
      </c>
      <c r="X19" s="13">
        <f t="shared" si="14"/>
        <v>79647.631436314376</v>
      </c>
      <c r="Y19" s="13">
        <f t="shared" si="14"/>
        <v>162595.72017489071</v>
      </c>
      <c r="Z19" s="13">
        <f t="shared" si="14"/>
        <v>126456.06614765663</v>
      </c>
    </row>
    <row r="20" spans="2:26" outlineLevel="1" x14ac:dyDescent="0.3">
      <c r="B20" t="s">
        <v>28</v>
      </c>
      <c r="C20" t="s">
        <v>29</v>
      </c>
      <c r="D20" s="9">
        <v>41.406999999999996</v>
      </c>
      <c r="E20" s="9">
        <v>43.021999999999998</v>
      </c>
      <c r="F20" s="9">
        <v>98.495999999999995</v>
      </c>
      <c r="G20" s="9">
        <v>55.222000000000001</v>
      </c>
      <c r="H20" s="9">
        <v>303.27100000000002</v>
      </c>
      <c r="I20" s="9">
        <v>213.14400000000001</v>
      </c>
      <c r="J20" s="9">
        <v>233.16499999999999</v>
      </c>
      <c r="K20" s="9">
        <v>442.62200000000001</v>
      </c>
      <c r="L20" s="9">
        <v>1076.779</v>
      </c>
      <c r="M20" s="9">
        <v>1779.133</v>
      </c>
      <c r="N20" s="9">
        <v>989.904</v>
      </c>
      <c r="P20" s="9">
        <f t="shared" ref="P20:R22" si="15">IFERROR(D20/P$3*1000,0)</f>
        <v>139.45976895355491</v>
      </c>
      <c r="Q20" s="9">
        <f t="shared" si="15"/>
        <v>136.62548826574357</v>
      </c>
      <c r="R20" s="9">
        <f t="shared" si="15"/>
        <v>314.56310679611647</v>
      </c>
      <c r="S20" s="9">
        <f t="shared" ref="S20:T22" si="16">IFERROR(G20/R$3*1000,0)</f>
        <v>176.3605007664793</v>
      </c>
      <c r="T20" s="9">
        <f t="shared" si="16"/>
        <v>975.08520352388928</v>
      </c>
      <c r="U20" s="9">
        <f>IFERROR(I20/T$3*1000,0)</f>
        <v>687.2509189398337</v>
      </c>
      <c r="V20" s="9">
        <f t="shared" si="14"/>
        <v>705.44898947113643</v>
      </c>
      <c r="W20" s="9">
        <f t="shared" si="14"/>
        <v>1212.2312600991427</v>
      </c>
      <c r="X20" s="9">
        <f t="shared" si="14"/>
        <v>2918.1002710027101</v>
      </c>
      <c r="Y20" s="9">
        <f t="shared" si="14"/>
        <v>4445.0543410368518</v>
      </c>
      <c r="Z20" s="9">
        <f t="shared" si="14"/>
        <v>2586.0912273368517</v>
      </c>
    </row>
    <row r="21" spans="2:26" outlineLevel="1" x14ac:dyDescent="0.3">
      <c r="B21" t="s">
        <v>30</v>
      </c>
      <c r="C21" t="s">
        <v>31</v>
      </c>
      <c r="D21" s="9">
        <v>787.505</v>
      </c>
      <c r="E21" s="9">
        <v>700.26499999999999</v>
      </c>
      <c r="F21" s="9">
        <v>2650.4140000000002</v>
      </c>
      <c r="G21" s="9">
        <v>3533.75</v>
      </c>
      <c r="H21" s="9">
        <v>3699.9859999999999</v>
      </c>
      <c r="I21" s="9">
        <v>3319.5839999999998</v>
      </c>
      <c r="J21" s="9">
        <v>2919.8359999999998</v>
      </c>
      <c r="K21" s="9">
        <v>3263.2240000000002</v>
      </c>
      <c r="L21" s="9">
        <v>4425.3450000000003</v>
      </c>
      <c r="M21" s="9">
        <v>24562.537</v>
      </c>
      <c r="N21" s="9">
        <v>10863.76</v>
      </c>
      <c r="P21" s="9">
        <f t="shared" si="15"/>
        <v>2652.335724630359</v>
      </c>
      <c r="Q21" s="9">
        <f t="shared" si="15"/>
        <v>2223.8400711359523</v>
      </c>
      <c r="R21" s="9">
        <f t="shared" si="15"/>
        <v>8464.5311701584051</v>
      </c>
      <c r="S21" s="9">
        <f t="shared" si="16"/>
        <v>11285.60935104752</v>
      </c>
      <c r="T21" s="9">
        <f t="shared" si="16"/>
        <v>11896.296058131311</v>
      </c>
      <c r="U21" s="9">
        <f>IFERROR(I21/T$3*1000,0)</f>
        <v>10703.501644418649</v>
      </c>
      <c r="V21" s="9">
        <f t="shared" si="14"/>
        <v>8834.0675299528011</v>
      </c>
      <c r="W21" s="9">
        <f t="shared" si="14"/>
        <v>8937.1566291457839</v>
      </c>
      <c r="X21" s="9">
        <f t="shared" si="14"/>
        <v>11992.804878048782</v>
      </c>
      <c r="Y21" s="9">
        <f t="shared" si="14"/>
        <v>61367.987507807622</v>
      </c>
      <c r="Z21" s="9">
        <f t="shared" si="14"/>
        <v>28381.211139557974</v>
      </c>
    </row>
    <row r="22" spans="2:26" outlineLevel="1" x14ac:dyDescent="0.3">
      <c r="B22" s="94" t="s">
        <v>311</v>
      </c>
      <c r="C22" t="s">
        <v>303</v>
      </c>
      <c r="D22" s="9">
        <v>0</v>
      </c>
      <c r="E22" s="9">
        <v>0</v>
      </c>
      <c r="F22" s="9">
        <v>0</v>
      </c>
      <c r="G22" s="9">
        <v>273.40199999999999</v>
      </c>
      <c r="H22" s="9">
        <v>873.94899999999996</v>
      </c>
      <c r="I22" s="9">
        <v>287</v>
      </c>
      <c r="J22" s="9">
        <v>160.81399999999999</v>
      </c>
      <c r="K22" s="9">
        <v>128.94900000000001</v>
      </c>
      <c r="L22" s="9">
        <v>0</v>
      </c>
      <c r="M22" s="9">
        <v>0</v>
      </c>
      <c r="N22" s="9">
        <v>0</v>
      </c>
      <c r="P22" s="9">
        <f t="shared" si="15"/>
        <v>0</v>
      </c>
      <c r="Q22" s="9">
        <f t="shared" si="15"/>
        <v>0</v>
      </c>
      <c r="R22" s="9">
        <f t="shared" si="15"/>
        <v>0</v>
      </c>
      <c r="S22" s="9">
        <f t="shared" si="16"/>
        <v>873.15406234031673</v>
      </c>
      <c r="T22" s="9">
        <f t="shared" si="16"/>
        <v>2809.9446980901548</v>
      </c>
      <c r="U22" s="9">
        <f>IFERROR(I22/T$3*1000,0)</f>
        <v>925.38853421035662</v>
      </c>
      <c r="V22" s="9">
        <f t="shared" si="14"/>
        <v>486.54846907902697</v>
      </c>
      <c r="W22" s="9">
        <f t="shared" si="14"/>
        <v>353.15914879631913</v>
      </c>
      <c r="X22" s="9">
        <f t="shared" si="14"/>
        <v>0</v>
      </c>
      <c r="Y22" s="9">
        <f t="shared" si="14"/>
        <v>0</v>
      </c>
      <c r="Z22" s="9">
        <f t="shared" si="14"/>
        <v>0</v>
      </c>
    </row>
    <row r="23" spans="2:26" outlineLevel="1" x14ac:dyDescent="0.3">
      <c r="B23" t="s">
        <v>13</v>
      </c>
      <c r="C23" t="s">
        <v>14</v>
      </c>
      <c r="D23" s="9"/>
      <c r="E23" s="9"/>
      <c r="F23" s="9"/>
      <c r="G23" s="9"/>
      <c r="H23" s="9"/>
      <c r="I23" s="9"/>
      <c r="J23" s="9"/>
      <c r="K23" s="9">
        <v>843.48800000000006</v>
      </c>
      <c r="L23" s="9">
        <v>2395.5250000000001</v>
      </c>
      <c r="M23" s="9">
        <v>1521.34</v>
      </c>
      <c r="N23" s="9">
        <v>1051.1980000000001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2:26" outlineLevel="1" x14ac:dyDescent="0.3">
      <c r="B24" t="s">
        <v>32</v>
      </c>
      <c r="C24" t="s">
        <v>33</v>
      </c>
      <c r="D24" s="9">
        <v>268.46699999999998</v>
      </c>
      <c r="E24" s="9">
        <v>391.399</v>
      </c>
      <c r="F24" s="9">
        <v>627.99</v>
      </c>
      <c r="G24" s="9">
        <v>1275.48</v>
      </c>
      <c r="H24" s="9">
        <v>265.75299999999999</v>
      </c>
      <c r="I24" s="9">
        <v>915.40099999999995</v>
      </c>
      <c r="J24" s="9">
        <v>360.98700000000002</v>
      </c>
      <c r="K24" s="9">
        <v>1697.162</v>
      </c>
      <c r="L24" s="9">
        <v>8627.1360000000004</v>
      </c>
      <c r="M24" s="9">
        <v>8500.2540000000008</v>
      </c>
      <c r="N24" s="9">
        <v>4164.4570000000003</v>
      </c>
      <c r="P24" s="9">
        <f t="shared" ref="P24:R27" si="17">IFERROR(D24/P$3*1000,0)</f>
        <v>904.20329392745271</v>
      </c>
      <c r="Q24" s="9">
        <f t="shared" si="17"/>
        <v>1242.9705611483375</v>
      </c>
      <c r="R24" s="9">
        <f t="shared" si="17"/>
        <v>2005.5889115993871</v>
      </c>
      <c r="S24" s="9">
        <f t="shared" ref="S24:U27" si="18">IFERROR(G24/R$3*1000,0)</f>
        <v>4073.4542667347987</v>
      </c>
      <c r="T24" s="9">
        <f t="shared" si="18"/>
        <v>854.4563050607677</v>
      </c>
      <c r="U24" s="9">
        <f t="shared" si="18"/>
        <v>2951.5734829431872</v>
      </c>
      <c r="V24" s="9">
        <f t="shared" ref="V24:Z27" si="19">IFERROR(J24/V$3*1000,0)</f>
        <v>1092.1789906813508</v>
      </c>
      <c r="W24" s="9">
        <f t="shared" si="19"/>
        <v>4648.1034152219754</v>
      </c>
      <c r="X24" s="9">
        <f t="shared" si="19"/>
        <v>23379.772357723577</v>
      </c>
      <c r="Y24" s="9">
        <f t="shared" si="19"/>
        <v>21237.361648969396</v>
      </c>
      <c r="Z24" s="9">
        <f t="shared" si="19"/>
        <v>10879.505198808716</v>
      </c>
    </row>
    <row r="25" spans="2:26" outlineLevel="1" x14ac:dyDescent="0.3">
      <c r="B25" t="s">
        <v>34</v>
      </c>
      <c r="C25" s="151" t="s">
        <v>35</v>
      </c>
      <c r="D25" s="9">
        <v>102.241</v>
      </c>
      <c r="E25" s="9">
        <v>207.75700000000001</v>
      </c>
      <c r="F25" s="9">
        <v>693.71400000000006</v>
      </c>
      <c r="G25" s="9">
        <v>359.46899999999999</v>
      </c>
      <c r="H25" s="9">
        <v>1009.65</v>
      </c>
      <c r="I25" s="9">
        <v>1654.961</v>
      </c>
      <c r="J25" s="9">
        <v>4396.5959999999995</v>
      </c>
      <c r="K25" s="9">
        <v>3895.8029999999999</v>
      </c>
      <c r="L25" s="9">
        <v>9155.7180000000008</v>
      </c>
      <c r="M25" s="9">
        <v>12057.221</v>
      </c>
      <c r="N25" s="9">
        <v>6827.02</v>
      </c>
      <c r="P25" s="9">
        <f t="shared" si="17"/>
        <v>344.35013977299519</v>
      </c>
      <c r="Q25" s="9">
        <f t="shared" si="17"/>
        <v>659.77642986439707</v>
      </c>
      <c r="R25" s="9">
        <f t="shared" si="17"/>
        <v>2215.4892692897292</v>
      </c>
      <c r="S25" s="9">
        <f t="shared" si="18"/>
        <v>1148.0231221257027</v>
      </c>
      <c r="T25" s="9">
        <f t="shared" si="18"/>
        <v>3246.2542601761947</v>
      </c>
      <c r="U25" s="9">
        <f t="shared" si="18"/>
        <v>5336.1739859418331</v>
      </c>
      <c r="V25" s="9">
        <f t="shared" si="19"/>
        <v>13302.057364153456</v>
      </c>
      <c r="W25" s="9">
        <f t="shared" si="19"/>
        <v>10669.632733546956</v>
      </c>
      <c r="X25" s="9">
        <f t="shared" si="19"/>
        <v>24812.243902439026</v>
      </c>
      <c r="Y25" s="9">
        <f t="shared" si="19"/>
        <v>30124.224859462836</v>
      </c>
      <c r="Z25" s="9">
        <f t="shared" si="19"/>
        <v>17835.36234913005</v>
      </c>
    </row>
    <row r="26" spans="2:26" outlineLevel="1" x14ac:dyDescent="0.3">
      <c r="B26" t="s">
        <v>36</v>
      </c>
      <c r="C26" t="s">
        <v>37</v>
      </c>
      <c r="D26" s="9">
        <v>0</v>
      </c>
      <c r="E26" s="9">
        <v>3.9369999999999998</v>
      </c>
      <c r="F26" s="9">
        <v>25.599</v>
      </c>
      <c r="G26" s="9">
        <v>68.977000000000004</v>
      </c>
      <c r="H26" s="9">
        <v>127.69799999999999</v>
      </c>
      <c r="I26" s="9">
        <v>192.18199999999999</v>
      </c>
      <c r="J26" s="9">
        <v>118.67700000000001</v>
      </c>
      <c r="K26" s="9">
        <v>92.811999999999998</v>
      </c>
      <c r="L26" s="9">
        <v>30.22</v>
      </c>
      <c r="M26" s="9">
        <v>193.124</v>
      </c>
      <c r="N26" s="9">
        <v>163.434</v>
      </c>
      <c r="P26" s="9">
        <f t="shared" si="17"/>
        <v>0</v>
      </c>
      <c r="Q26" s="9">
        <f t="shared" si="17"/>
        <v>12.502778748134268</v>
      </c>
      <c r="R26" s="9">
        <f t="shared" si="17"/>
        <v>81.754598875830354</v>
      </c>
      <c r="S26" s="9">
        <f t="shared" si="18"/>
        <v>220.2893459376597</v>
      </c>
      <c r="T26" s="9">
        <f t="shared" si="18"/>
        <v>410.5780978715195</v>
      </c>
      <c r="U26" s="9">
        <f t="shared" si="18"/>
        <v>619.66208808925001</v>
      </c>
      <c r="V26" s="9">
        <f t="shared" si="19"/>
        <v>359.06147888176207</v>
      </c>
      <c r="W26" s="9">
        <f t="shared" si="19"/>
        <v>254.18891901514527</v>
      </c>
      <c r="X26" s="9">
        <f t="shared" si="19"/>
        <v>81.897018970189691</v>
      </c>
      <c r="Y26" s="9">
        <f t="shared" si="19"/>
        <v>482.50843222985634</v>
      </c>
      <c r="Z26" s="9">
        <f t="shared" si="19"/>
        <v>426.96588118501495</v>
      </c>
    </row>
    <row r="27" spans="2:26" x14ac:dyDescent="0.3">
      <c r="B27" t="s">
        <v>38</v>
      </c>
      <c r="C27" t="s">
        <v>39</v>
      </c>
      <c r="D27" s="9">
        <v>878.1</v>
      </c>
      <c r="E27" s="9">
        <v>2252.163</v>
      </c>
      <c r="F27" s="9">
        <v>1924.559</v>
      </c>
      <c r="G27" s="9">
        <v>3915.0909999999999</v>
      </c>
      <c r="H27" s="9">
        <v>2825.6979999999999</v>
      </c>
      <c r="I27" s="9">
        <v>2561.2179999999998</v>
      </c>
      <c r="J27" s="9">
        <v>4847.6710000000003</v>
      </c>
      <c r="K27" s="9">
        <v>3455.0450000000001</v>
      </c>
      <c r="L27" s="9">
        <v>3679.2530000000002</v>
      </c>
      <c r="M27" s="9">
        <v>16465.328000000001</v>
      </c>
      <c r="N27" s="9">
        <v>24345.08</v>
      </c>
      <c r="P27" s="9">
        <f t="shared" si="17"/>
        <v>2957.4618571284227</v>
      </c>
      <c r="Q27" s="9">
        <f t="shared" si="17"/>
        <v>7152.2214106513384</v>
      </c>
      <c r="R27" s="9">
        <f t="shared" si="17"/>
        <v>6146.3943536024517</v>
      </c>
      <c r="S27" s="9">
        <f t="shared" si="18"/>
        <v>12503.484287174246</v>
      </c>
      <c r="T27" s="9">
        <f t="shared" si="18"/>
        <v>9085.2613979808375</v>
      </c>
      <c r="U27" s="9">
        <f t="shared" si="18"/>
        <v>8258.2640098020238</v>
      </c>
      <c r="V27" s="9">
        <f t="shared" si="19"/>
        <v>14666.800798741378</v>
      </c>
      <c r="W27" s="9">
        <f t="shared" si="19"/>
        <v>9462.5065045326319</v>
      </c>
      <c r="X27" s="9">
        <f t="shared" si="19"/>
        <v>9970.875338753387</v>
      </c>
      <c r="Y27" s="9">
        <f t="shared" si="19"/>
        <v>41137.608994378519</v>
      </c>
      <c r="Z27" s="9">
        <f t="shared" si="19"/>
        <v>63600.710590939976</v>
      </c>
    </row>
    <row r="28" spans="2:26" hidden="1" outlineLevel="1" x14ac:dyDescent="0.3">
      <c r="B28" s="94" t="s">
        <v>283</v>
      </c>
      <c r="C28" t="s">
        <v>307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2:26" hidden="1" outlineLevel="1" x14ac:dyDescent="0.3">
      <c r="B29" t="s">
        <v>40</v>
      </c>
      <c r="C29" t="s">
        <v>41</v>
      </c>
      <c r="D29" s="9">
        <v>0</v>
      </c>
      <c r="E29" s="9">
        <v>0</v>
      </c>
      <c r="F29" s="9">
        <v>8.8019999999999996</v>
      </c>
      <c r="G29" s="9">
        <v>0</v>
      </c>
      <c r="H29" s="11" t="s">
        <v>20</v>
      </c>
      <c r="I29" s="11">
        <v>0</v>
      </c>
      <c r="J29" s="11">
        <v>0</v>
      </c>
      <c r="K29" s="11"/>
      <c r="L29" s="11"/>
      <c r="M29" s="11"/>
      <c r="N29" s="11"/>
      <c r="P29" s="9">
        <f>IFERROR(D29/P$3*1000,0)</f>
        <v>0</v>
      </c>
      <c r="Q29" s="9">
        <f>IFERROR(E29/Q$3*1000,0)</f>
        <v>0</v>
      </c>
      <c r="R29" s="9">
        <f>IFERROR(F29/R$3*1000,0)</f>
        <v>28.110628513030147</v>
      </c>
      <c r="S29" s="9">
        <f>IFERROR(G29/R$3*1000,0)</f>
        <v>0</v>
      </c>
      <c r="T29" s="9">
        <f>IFERROR(H29/S$3*1000,0)</f>
        <v>0</v>
      </c>
      <c r="U29" s="9">
        <f>IFERROR(I29/T$3*1000,0)</f>
        <v>0</v>
      </c>
      <c r="V29" s="9">
        <f>IFERROR(J29/V$3*1000,0)</f>
        <v>0</v>
      </c>
      <c r="W29" s="9">
        <f>IFERROR(K29/W$3*1000,0)</f>
        <v>0</v>
      </c>
      <c r="X29" s="9">
        <f>IFERROR(L29/X$3*1000,0)</f>
        <v>0</v>
      </c>
      <c r="Y29" s="9">
        <f>IFERROR(M29/Y$3*1000,0)</f>
        <v>0</v>
      </c>
      <c r="Z29" s="9">
        <f>IFERROR(N29/Z$3*1000,0)</f>
        <v>0</v>
      </c>
    </row>
    <row r="30" spans="2:26" hidden="1" outlineLevel="1" x14ac:dyDescent="0.3">
      <c r="B30" t="s">
        <v>479</v>
      </c>
      <c r="C30" t="s">
        <v>480</v>
      </c>
      <c r="D30" s="9"/>
      <c r="E30" s="9"/>
      <c r="F30" s="9"/>
      <c r="G30" s="9"/>
      <c r="H30" s="11"/>
      <c r="I30" s="11"/>
      <c r="J30" s="11"/>
      <c r="K30" s="11"/>
      <c r="L30" s="11"/>
      <c r="M30" s="11"/>
      <c r="N30" s="11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2:26" ht="6.6" customHeight="1" collapsed="1" thickBot="1" x14ac:dyDescent="0.35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5" thickBot="1" x14ac:dyDescent="0.35">
      <c r="B32" s="152" t="s">
        <v>42</v>
      </c>
      <c r="C32" s="152" t="s">
        <v>43</v>
      </c>
      <c r="D32" s="14">
        <f t="shared" ref="D32:K32" si="20">+D19+D6</f>
        <v>8536.6020000000008</v>
      </c>
      <c r="E32" s="14">
        <f t="shared" si="20"/>
        <v>9788.3070000000007</v>
      </c>
      <c r="F32" s="14">
        <f t="shared" si="20"/>
        <v>13939.216</v>
      </c>
      <c r="G32" s="14">
        <f t="shared" si="20"/>
        <v>16147.833000000001</v>
      </c>
      <c r="H32" s="14">
        <f t="shared" si="20"/>
        <v>16652.12</v>
      </c>
      <c r="I32" s="14">
        <f t="shared" si="20"/>
        <v>22859.097999999998</v>
      </c>
      <c r="J32" s="14">
        <f t="shared" si="20"/>
        <v>37574.506999999998</v>
      </c>
      <c r="K32" s="14">
        <f t="shared" si="20"/>
        <v>44884.36</v>
      </c>
      <c r="L32" s="14">
        <f t="shared" ref="L32:M32" si="21">+L19+L6</f>
        <v>60760.748000000007</v>
      </c>
      <c r="M32" s="14">
        <f t="shared" si="21"/>
        <v>100020.394</v>
      </c>
      <c r="N32" s="14">
        <f t="shared" ref="N32" si="22">+N19+N6</f>
        <v>91977.77900000001</v>
      </c>
      <c r="P32" s="14">
        <f t="shared" ref="P32:U32" si="23">+P19+P6</f>
        <v>28751.480246539351</v>
      </c>
      <c r="Q32" s="14">
        <f t="shared" si="23"/>
        <v>31084.845501603733</v>
      </c>
      <c r="R32" s="14">
        <f t="shared" si="23"/>
        <v>44517.169136433316</v>
      </c>
      <c r="S32" s="14">
        <f t="shared" si="23"/>
        <v>51570.749233520692</v>
      </c>
      <c r="T32" s="14">
        <f t="shared" si="23"/>
        <v>53540.35110282297</v>
      </c>
      <c r="U32" s="14">
        <f t="shared" si="23"/>
        <v>73705.739343522277</v>
      </c>
      <c r="V32" s="14">
        <f t="shared" ref="V32" si="24">+V19+V6</f>
        <v>113683.00556698536</v>
      </c>
      <c r="W32" s="14">
        <f t="shared" ref="W32:X32" si="25">+W19+W6</f>
        <v>122927.06707200175</v>
      </c>
      <c r="X32" s="14">
        <f t="shared" si="25"/>
        <v>164663.27371273714</v>
      </c>
      <c r="Y32" s="14">
        <f t="shared" ref="Y32:Z32" si="26">+Y19+Y6</f>
        <v>249894.80074953154</v>
      </c>
      <c r="Z32" s="14">
        <f t="shared" si="26"/>
        <v>240288.88395422959</v>
      </c>
    </row>
    <row r="33" spans="2:26" ht="7.2" customHeight="1" x14ac:dyDescent="0.3"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2:26" x14ac:dyDescent="0.3">
      <c r="B34" s="150" t="s">
        <v>44</v>
      </c>
      <c r="C34" s="150" t="s">
        <v>45</v>
      </c>
      <c r="D34" s="13">
        <f t="shared" ref="D34:F34" si="27">+D35+D45</f>
        <v>1873.3670000000002</v>
      </c>
      <c r="E34" s="13">
        <f t="shared" si="27"/>
        <v>1527.4540000000002</v>
      </c>
      <c r="F34" s="13">
        <f t="shared" si="27"/>
        <v>2543.5970000000007</v>
      </c>
      <c r="G34" s="13">
        <f t="shared" ref="G34:M34" si="28">+G35+G45</f>
        <v>4896.6480000000001</v>
      </c>
      <c r="H34" s="13">
        <f t="shared" si="28"/>
        <v>5119.4949999999999</v>
      </c>
      <c r="I34" s="13">
        <f t="shared" si="28"/>
        <v>5144.7329999999993</v>
      </c>
      <c r="J34" s="13">
        <f t="shared" si="28"/>
        <v>5749.8840000000009</v>
      </c>
      <c r="K34" s="13">
        <f t="shared" si="28"/>
        <v>8547.6569999999992</v>
      </c>
      <c r="L34" s="13">
        <f t="shared" si="28"/>
        <v>19009.317999999999</v>
      </c>
      <c r="M34" s="13">
        <f t="shared" si="28"/>
        <v>26687.862000000001</v>
      </c>
      <c r="N34" s="13">
        <f t="shared" ref="N34" si="29">+N35+N45</f>
        <v>33854.114000000001</v>
      </c>
      <c r="P34" s="13">
        <f t="shared" ref="P34" si="30">+P35+P45</f>
        <v>6309.5449799602557</v>
      </c>
      <c r="Q34" s="13">
        <f t="shared" ref="Q34" si="31">+Q35+Q45</f>
        <v>4850.7542316364452</v>
      </c>
      <c r="R34" s="13">
        <f t="shared" ref="R34" si="32">+R35+R45</f>
        <v>8123.393587123147</v>
      </c>
      <c r="S34" s="13">
        <f>+S35+S45</f>
        <v>15638.247317322432</v>
      </c>
      <c r="T34" s="13">
        <f>+T35+T45</f>
        <v>16460.340171050095</v>
      </c>
      <c r="U34" s="13">
        <f>IFERROR(I34/T$3*1000,0)</f>
        <v>16588.421358096341</v>
      </c>
      <c r="V34" s="13">
        <f>IFERROR(J34/V$3*1000,0)</f>
        <v>17396.478276654972</v>
      </c>
      <c r="W34" s="13">
        <f>IFERROR(K34/W$3*1000,0)</f>
        <v>23409.900583353872</v>
      </c>
      <c r="X34" s="13">
        <f>IFERROR(L34/X$3*1000,0)</f>
        <v>51515.766937669374</v>
      </c>
      <c r="Y34" s="13">
        <f>IFERROR(M34/Y$3*1000,0)</f>
        <v>66677.981261711437</v>
      </c>
      <c r="Z34" s="13">
        <f>IFERROR(N34/Z$3*1000,0)</f>
        <v>88442.745179998965</v>
      </c>
    </row>
    <row r="35" spans="2:26" hidden="1" outlineLevel="1" x14ac:dyDescent="0.3">
      <c r="B35" s="80" t="s">
        <v>46</v>
      </c>
      <c r="C35" s="80" t="s">
        <v>47</v>
      </c>
      <c r="D35" s="9">
        <f t="shared" ref="D35:G35" si="33">SUM(D36:D42)</f>
        <v>1873.3670000000002</v>
      </c>
      <c r="E35" s="9">
        <f t="shared" si="33"/>
        <v>1527.4540000000002</v>
      </c>
      <c r="F35" s="9">
        <f t="shared" si="33"/>
        <v>2158.5020000000004</v>
      </c>
      <c r="G35" s="9">
        <f t="shared" si="33"/>
        <v>4924.7780000000002</v>
      </c>
      <c r="H35" s="9">
        <f>SUM(H36:H42)</f>
        <v>5145.1959999999999</v>
      </c>
      <c r="I35" s="9">
        <f>SUM(I36:I43)</f>
        <v>5151.5729999999994</v>
      </c>
      <c r="J35" s="9">
        <f>SUM(J36:J43)</f>
        <v>5753.8100000000013</v>
      </c>
      <c r="K35" s="9">
        <f>SUM(K36:K42)</f>
        <v>8539.8919999999998</v>
      </c>
      <c r="L35" s="9">
        <f>SUM(L36:L42)</f>
        <v>18999.287</v>
      </c>
      <c r="M35" s="9">
        <f>SUM(M36:M42)</f>
        <v>26602.913</v>
      </c>
      <c r="N35" s="9">
        <f>SUM(N36:N43)</f>
        <v>33810.529000000002</v>
      </c>
      <c r="P35" s="9">
        <f t="shared" ref="P35" si="34">SUM(P36:P42)</f>
        <v>6309.5449799602557</v>
      </c>
      <c r="Q35" s="9">
        <f t="shared" ref="Q35" si="35">SUM(Q36:Q42)</f>
        <v>4850.7542316364452</v>
      </c>
      <c r="R35" s="9">
        <f t="shared" ref="R35" si="36">SUM(R36:R42)</f>
        <v>6893.5296371997947</v>
      </c>
      <c r="S35" s="9">
        <f t="shared" ref="S35" si="37">SUM(S36:S42)</f>
        <v>15728.085079202861</v>
      </c>
      <c r="T35" s="9">
        <f t="shared" ref="T35:Y35" si="38">SUM(T36:T42)</f>
        <v>16542.974728313293</v>
      </c>
      <c r="U35" s="9">
        <f t="shared" si="38"/>
        <v>16609.631134326435</v>
      </c>
      <c r="V35" s="9">
        <f t="shared" si="38"/>
        <v>17411.560571221111</v>
      </c>
      <c r="W35" s="9">
        <f t="shared" si="38"/>
        <v>24000.084901268041</v>
      </c>
      <c r="X35" s="9">
        <f t="shared" si="38"/>
        <v>51488.582655826554</v>
      </c>
      <c r="Y35" s="9">
        <f t="shared" si="38"/>
        <v>70112.322298563391</v>
      </c>
      <c r="Z35" s="9">
        <f t="shared" ref="Z35" si="39">SUM(Z36:Z42)</f>
        <v>93255.499242384671</v>
      </c>
    </row>
    <row r="36" spans="2:26" hidden="1" outlineLevel="1" x14ac:dyDescent="0.3">
      <c r="B36" t="s">
        <v>48</v>
      </c>
      <c r="C36" t="s">
        <v>49</v>
      </c>
      <c r="D36" s="9">
        <v>167.7</v>
      </c>
      <c r="E36" s="9">
        <v>167.7</v>
      </c>
      <c r="F36" s="9">
        <v>158.07499999999999</v>
      </c>
      <c r="G36" s="9">
        <v>195.39</v>
      </c>
      <c r="H36" s="9">
        <v>195.39</v>
      </c>
      <c r="I36" s="9">
        <v>195.31399999999999</v>
      </c>
      <c r="J36" s="9">
        <v>232.94800000000001</v>
      </c>
      <c r="K36" s="9">
        <v>232.97200000000001</v>
      </c>
      <c r="L36" s="9">
        <v>242.23500000000001</v>
      </c>
      <c r="M36" s="9">
        <v>249.066</v>
      </c>
      <c r="N36" s="9">
        <v>247.53399999999999</v>
      </c>
      <c r="O36" s="12"/>
      <c r="P36" s="9">
        <f t="shared" ref="P36:R37" si="40">IFERROR(D36/P$3*1000,0)</f>
        <v>564.81762150146494</v>
      </c>
      <c r="Q36" s="9">
        <f t="shared" si="40"/>
        <v>532.56692813363395</v>
      </c>
      <c r="R36" s="9">
        <f t="shared" si="40"/>
        <v>504.83840061318341</v>
      </c>
      <c r="S36" s="9">
        <f t="shared" ref="S36:U37" si="41">IFERROR(G36/R$3*1000,0)</f>
        <v>624.00996423096569</v>
      </c>
      <c r="T36" s="9">
        <f t="shared" si="41"/>
        <v>628.22326538486277</v>
      </c>
      <c r="U36" s="9">
        <f t="shared" si="41"/>
        <v>629.76075320822861</v>
      </c>
      <c r="V36" s="9">
        <f t="shared" ref="V36:Z37" si="42">IFERROR(J36/V$3*1000,0)</f>
        <v>704.79244826334264</v>
      </c>
      <c r="W36" s="9">
        <f t="shared" si="42"/>
        <v>638.05220058609268</v>
      </c>
      <c r="X36" s="9">
        <f t="shared" si="42"/>
        <v>656.46341463414637</v>
      </c>
      <c r="Y36" s="9">
        <f t="shared" si="42"/>
        <v>622.27607745159276</v>
      </c>
      <c r="Z36" s="9">
        <f t="shared" si="42"/>
        <v>646.67432990229383</v>
      </c>
    </row>
    <row r="37" spans="2:26" hidden="1" outlineLevel="1" x14ac:dyDescent="0.3">
      <c r="B37" t="s">
        <v>302</v>
      </c>
      <c r="C37" t="s">
        <v>50</v>
      </c>
      <c r="D37" s="9">
        <v>1628.451</v>
      </c>
      <c r="E37" s="9">
        <v>1628.451</v>
      </c>
      <c r="F37" s="9">
        <v>1628.451</v>
      </c>
      <c r="G37" s="9">
        <v>3080.8380000000002</v>
      </c>
      <c r="H37" s="9">
        <v>3080.8380000000002</v>
      </c>
      <c r="I37" s="9">
        <v>3080.8380000000002</v>
      </c>
      <c r="J37" s="9">
        <v>5056.2070000000003</v>
      </c>
      <c r="K37" s="9">
        <v>5185.3429999999998</v>
      </c>
      <c r="L37" s="9">
        <v>5375.3689999999997</v>
      </c>
      <c r="M37" s="9">
        <v>6573.1480000000001</v>
      </c>
      <c r="N37" s="9">
        <v>6174.0870000000004</v>
      </c>
      <c r="P37" s="9">
        <f t="shared" si="40"/>
        <v>5484.6620187935732</v>
      </c>
      <c r="Q37" s="9">
        <f t="shared" si="40"/>
        <v>5171.4916319984759</v>
      </c>
      <c r="R37" s="9">
        <f t="shared" si="40"/>
        <v>5200.7249616760346</v>
      </c>
      <c r="S37" s="9">
        <f t="shared" si="41"/>
        <v>9839.1607051609608</v>
      </c>
      <c r="T37" s="9">
        <f t="shared" si="41"/>
        <v>9905.594495530835</v>
      </c>
      <c r="U37" s="9">
        <f t="shared" si="41"/>
        <v>9933.7009092667849</v>
      </c>
      <c r="V37" s="9">
        <f t="shared" si="42"/>
        <v>15297.733873895682</v>
      </c>
      <c r="W37" s="9">
        <f t="shared" si="42"/>
        <v>14201.361159039247</v>
      </c>
      <c r="X37" s="9">
        <f t="shared" si="42"/>
        <v>14567.395663956639</v>
      </c>
      <c r="Y37" s="9">
        <f t="shared" si="42"/>
        <v>16422.605871330419</v>
      </c>
      <c r="Z37" s="9">
        <f t="shared" si="42"/>
        <v>16129.596635142903</v>
      </c>
    </row>
    <row r="38" spans="2:26" hidden="1" outlineLevel="1" x14ac:dyDescent="0.3">
      <c r="B38" t="s">
        <v>175</v>
      </c>
      <c r="C38" t="s">
        <v>414</v>
      </c>
      <c r="D38" s="9"/>
      <c r="E38" s="9"/>
      <c r="F38" s="9"/>
      <c r="G38" s="9"/>
      <c r="H38" s="9"/>
      <c r="I38" s="9"/>
      <c r="J38" s="9"/>
      <c r="K38" s="9">
        <v>-223.25899999999999</v>
      </c>
      <c r="L38" s="9">
        <v>0</v>
      </c>
      <c r="M38" s="9">
        <v>-1459.5440000000001</v>
      </c>
      <c r="N38" s="9">
        <v>-1885.8109999999999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2:26" hidden="1" outlineLevel="1" x14ac:dyDescent="0.3">
      <c r="B39" t="s">
        <v>51</v>
      </c>
      <c r="C39" t="s">
        <v>52</v>
      </c>
      <c r="D39" s="9">
        <v>33.149000000000001</v>
      </c>
      <c r="E39" s="9">
        <v>8.8800000000000008</v>
      </c>
      <c r="F39" s="9">
        <v>0</v>
      </c>
      <c r="G39" s="9">
        <v>42.295999999999999</v>
      </c>
      <c r="H39" s="9">
        <v>83.74</v>
      </c>
      <c r="I39" s="9">
        <v>92.69</v>
      </c>
      <c r="J39" s="9">
        <v>68.397999999999996</v>
      </c>
      <c r="K39" s="9">
        <v>62.819000000000003</v>
      </c>
      <c r="L39" s="9">
        <v>-206.875</v>
      </c>
      <c r="M39" s="9">
        <v>2069.2449999999999</v>
      </c>
      <c r="N39" s="9">
        <v>-2389.0239999999999</v>
      </c>
      <c r="P39" s="9">
        <f t="shared" ref="P39:R43" si="43">IFERROR(D39/P$3*1000,0)</f>
        <v>111.64662692398369</v>
      </c>
      <c r="Q39" s="9">
        <f t="shared" si="43"/>
        <v>28.200323922639654</v>
      </c>
      <c r="R39" s="9">
        <f t="shared" si="43"/>
        <v>0</v>
      </c>
      <c r="S39" s="9">
        <f t="shared" ref="S39:U43" si="44">IFERROR(G39/R$3*1000,0)</f>
        <v>135.07920286152273</v>
      </c>
      <c r="T39" s="9">
        <f t="shared" si="44"/>
        <v>269.2431354896791</v>
      </c>
      <c r="U39" s="9">
        <f t="shared" si="44"/>
        <v>298.86502869671762</v>
      </c>
      <c r="V39" s="9">
        <f t="shared" ref="V39:Z43" si="45">IFERROR(J39/V$3*1000,0)</f>
        <v>206.9405784823914</v>
      </c>
      <c r="W39" s="9">
        <f t="shared" si="45"/>
        <v>172.04557280968424</v>
      </c>
      <c r="X39" s="9">
        <f t="shared" si="45"/>
        <v>-560.6368563685636</v>
      </c>
      <c r="Y39" s="9">
        <f t="shared" si="45"/>
        <v>5169.8813241723919</v>
      </c>
      <c r="Z39" s="9">
        <f t="shared" si="45"/>
        <v>-6241.2456241182927</v>
      </c>
    </row>
    <row r="40" spans="2:26" hidden="1" outlineLevel="1" x14ac:dyDescent="0.3">
      <c r="B40" t="s">
        <v>53</v>
      </c>
      <c r="C40" t="s">
        <v>54</v>
      </c>
      <c r="D40" s="9">
        <v>44.067</v>
      </c>
      <c r="E40" s="9">
        <v>-277.577</v>
      </c>
      <c r="F40" s="9">
        <v>818.70699999999999</v>
      </c>
      <c r="G40" s="9">
        <v>1348.3430000000001</v>
      </c>
      <c r="H40" s="9">
        <v>2006.8610000000001</v>
      </c>
      <c r="I40" s="9">
        <v>2267.98</v>
      </c>
      <c r="J40" s="9">
        <v>2303.2820000000002</v>
      </c>
      <c r="K40" s="9">
        <v>2882.2159999999999</v>
      </c>
      <c r="L40" s="9">
        <v>8282.1270000000004</v>
      </c>
      <c r="M40" s="9">
        <v>19170.998</v>
      </c>
      <c r="N40" s="9">
        <v>31663.742999999999</v>
      </c>
      <c r="P40" s="9">
        <f t="shared" si="43"/>
        <v>148.41871274123469</v>
      </c>
      <c r="Q40" s="9">
        <f t="shared" si="43"/>
        <v>-881.50465241830489</v>
      </c>
      <c r="R40" s="9">
        <f t="shared" si="43"/>
        <v>2614.6748850281042</v>
      </c>
      <c r="S40" s="9">
        <f t="shared" si="44"/>
        <v>4306.1541900868669</v>
      </c>
      <c r="T40" s="9">
        <f t="shared" si="44"/>
        <v>6452.5143077615594</v>
      </c>
      <c r="U40" s="9">
        <f t="shared" si="44"/>
        <v>7312.7619784613407</v>
      </c>
      <c r="V40" s="9">
        <f t="shared" si="45"/>
        <v>6968.6615030860476</v>
      </c>
      <c r="W40" s="9">
        <f t="shared" si="45"/>
        <v>7893.6707474050345</v>
      </c>
      <c r="X40" s="9">
        <f t="shared" si="45"/>
        <v>22444.788617886177</v>
      </c>
      <c r="Y40" s="9">
        <f t="shared" si="45"/>
        <v>47897.559025608993</v>
      </c>
      <c r="Z40" s="9">
        <f t="shared" si="45"/>
        <v>82720.473901457764</v>
      </c>
    </row>
    <row r="41" spans="2:26" hidden="1" outlineLevel="1" x14ac:dyDescent="0.3">
      <c r="B41" t="s">
        <v>55</v>
      </c>
      <c r="C41" t="s">
        <v>56</v>
      </c>
      <c r="D41" s="9">
        <v>0</v>
      </c>
      <c r="E41" s="9">
        <v>0</v>
      </c>
      <c r="F41" s="9">
        <v>-356.13600000000002</v>
      </c>
      <c r="G41" s="9">
        <v>-182.42400000000001</v>
      </c>
      <c r="H41" s="9">
        <v>-182.42400000000001</v>
      </c>
      <c r="I41" s="9">
        <v>-186.40799999999999</v>
      </c>
      <c r="J41" s="9">
        <v>-192.53399999999999</v>
      </c>
      <c r="K41" s="9">
        <v>0</v>
      </c>
      <c r="L41" s="9">
        <v>0</v>
      </c>
      <c r="M41" s="9">
        <v>0</v>
      </c>
      <c r="N41" s="9">
        <v>0</v>
      </c>
      <c r="P41" s="9">
        <f t="shared" si="43"/>
        <v>0</v>
      </c>
      <c r="Q41" s="9">
        <f t="shared" si="43"/>
        <v>0</v>
      </c>
      <c r="R41" s="9">
        <f t="shared" si="43"/>
        <v>-1137.3786407766991</v>
      </c>
      <c r="S41" s="9">
        <f t="shared" si="44"/>
        <v>-582.60091977516606</v>
      </c>
      <c r="T41" s="9">
        <f t="shared" si="44"/>
        <v>-586.53462799819954</v>
      </c>
      <c r="U41" s="9">
        <f t="shared" si="44"/>
        <v>-601.04468949506668</v>
      </c>
      <c r="V41" s="9">
        <f t="shared" si="45"/>
        <v>-582.51845576667074</v>
      </c>
      <c r="W41" s="9">
        <f t="shared" si="45"/>
        <v>0</v>
      </c>
      <c r="X41" s="9">
        <f t="shared" si="45"/>
        <v>0</v>
      </c>
      <c r="Y41" s="9">
        <f t="shared" si="45"/>
        <v>0</v>
      </c>
      <c r="Z41" s="9">
        <f t="shared" si="45"/>
        <v>0</v>
      </c>
    </row>
    <row r="42" spans="2:26" hidden="1" outlineLevel="1" x14ac:dyDescent="0.3">
      <c r="B42" t="s">
        <v>57</v>
      </c>
      <c r="C42" t="s">
        <v>58</v>
      </c>
      <c r="D42" s="9">
        <v>0</v>
      </c>
      <c r="E42" s="9">
        <v>0</v>
      </c>
      <c r="F42" s="9">
        <v>-90.594999999999999</v>
      </c>
      <c r="G42" s="9">
        <v>440.33499999999998</v>
      </c>
      <c r="H42" s="9">
        <v>-39.209000000000003</v>
      </c>
      <c r="I42" s="9">
        <v>-299.10300000000001</v>
      </c>
      <c r="J42" s="9">
        <v>-1713.432</v>
      </c>
      <c r="K42" s="9">
        <v>399.80099999999999</v>
      </c>
      <c r="L42" s="9">
        <v>5306.4309999999996</v>
      </c>
      <c r="M42" s="9">
        <v>0</v>
      </c>
      <c r="N42" s="9">
        <v>0</v>
      </c>
      <c r="P42" s="9">
        <f t="shared" si="43"/>
        <v>0</v>
      </c>
      <c r="Q42" s="9">
        <f t="shared" si="43"/>
        <v>0</v>
      </c>
      <c r="R42" s="9">
        <f t="shared" si="43"/>
        <v>-289.3299693408278</v>
      </c>
      <c r="S42" s="9">
        <f t="shared" si="44"/>
        <v>1406.2819366377107</v>
      </c>
      <c r="T42" s="9">
        <f t="shared" si="44"/>
        <v>-126.06584785544339</v>
      </c>
      <c r="U42" s="9">
        <f t="shared" si="44"/>
        <v>-964.41284581156901</v>
      </c>
      <c r="V42" s="9">
        <f t="shared" si="45"/>
        <v>-5184.0493767396829</v>
      </c>
      <c r="W42" s="9">
        <f t="shared" si="45"/>
        <v>1094.9552214279845</v>
      </c>
      <c r="X42" s="9">
        <f t="shared" si="45"/>
        <v>14380.571815718156</v>
      </c>
      <c r="Y42" s="9">
        <f t="shared" si="45"/>
        <v>0</v>
      </c>
      <c r="Z42" s="9">
        <f t="shared" si="45"/>
        <v>0</v>
      </c>
    </row>
    <row r="43" spans="2:26" hidden="1" outlineLevel="1" x14ac:dyDescent="0.3">
      <c r="B43" t="s">
        <v>59</v>
      </c>
      <c r="C43" t="s">
        <v>305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0.26200000000000001</v>
      </c>
      <c r="J43" s="9">
        <v>-1.0589999999999999</v>
      </c>
      <c r="K43">
        <v>0</v>
      </c>
      <c r="L43">
        <v>0</v>
      </c>
      <c r="M43">
        <v>0</v>
      </c>
      <c r="N43">
        <v>0</v>
      </c>
      <c r="P43" s="9">
        <f t="shared" si="43"/>
        <v>0</v>
      </c>
      <c r="Q43" s="9">
        <f t="shared" si="43"/>
        <v>0</v>
      </c>
      <c r="R43" s="9">
        <f t="shared" si="43"/>
        <v>0</v>
      </c>
      <c r="S43" s="9">
        <f t="shared" si="44"/>
        <v>0</v>
      </c>
      <c r="T43" s="9">
        <f t="shared" si="44"/>
        <v>0</v>
      </c>
      <c r="U43" s="9">
        <f t="shared" si="44"/>
        <v>0.84477977687495975</v>
      </c>
      <c r="V43" s="9">
        <f t="shared" si="45"/>
        <v>-3.2040421154544352</v>
      </c>
      <c r="W43" s="9">
        <f t="shared" si="45"/>
        <v>0</v>
      </c>
      <c r="X43" s="9">
        <f t="shared" si="45"/>
        <v>0</v>
      </c>
      <c r="Y43" s="9">
        <f t="shared" si="45"/>
        <v>0</v>
      </c>
      <c r="Z43" s="9">
        <f t="shared" si="45"/>
        <v>0</v>
      </c>
    </row>
    <row r="44" spans="2:26" hidden="1" outlineLevel="1" x14ac:dyDescent="0.3">
      <c r="B44" t="s">
        <v>471</v>
      </c>
      <c r="C44" t="s">
        <v>471</v>
      </c>
      <c r="D44" s="9"/>
      <c r="E44" s="9"/>
      <c r="F44" s="9"/>
      <c r="G44" s="9"/>
      <c r="H44" s="9"/>
      <c r="I44" s="9"/>
      <c r="J44" s="9"/>
      <c r="N44" s="9">
        <v>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2:26" hidden="1" outlineLevel="1" x14ac:dyDescent="0.3">
      <c r="B45" s="80" t="s">
        <v>60</v>
      </c>
      <c r="C45" s="80" t="s">
        <v>61</v>
      </c>
      <c r="D45" s="16">
        <v>0</v>
      </c>
      <c r="E45" s="16">
        <v>0</v>
      </c>
      <c r="F45" s="16">
        <v>385.09500000000003</v>
      </c>
      <c r="G45" s="16">
        <v>-28.13</v>
      </c>
      <c r="H45" s="16">
        <v>-25.701000000000001</v>
      </c>
      <c r="I45" s="16">
        <v>-6.84</v>
      </c>
      <c r="J45" s="16">
        <v>-3.9260000000000002</v>
      </c>
      <c r="K45" s="258">
        <v>7.7649999999999997</v>
      </c>
      <c r="L45" s="258">
        <v>10.031000000000001</v>
      </c>
      <c r="M45" s="258">
        <v>84.948999999999998</v>
      </c>
      <c r="N45" s="258">
        <v>43.585000000000001</v>
      </c>
      <c r="P45" s="16">
        <f>IFERROR(D45/P$3*1000,0)</f>
        <v>0</v>
      </c>
      <c r="Q45" s="16">
        <f>IFERROR(E45/Q$3*1000,0)</f>
        <v>0</v>
      </c>
      <c r="R45" s="16">
        <f>IFERROR(F45/R$3*1000,0)</f>
        <v>1229.863949923352</v>
      </c>
      <c r="S45" s="16">
        <f>IFERROR(G45/R$3*1000,0)</f>
        <v>-89.837761880429213</v>
      </c>
      <c r="T45" s="16">
        <f>IFERROR(H45/S$3*1000,0)</f>
        <v>-82.634557263198516</v>
      </c>
      <c r="U45" s="16">
        <f>IFERROR(I45/T$3*1000,0)</f>
        <v>-22.054556006964599</v>
      </c>
      <c r="V45" s="16">
        <f>IFERROR(J45/V$3*1000,0)</f>
        <v>-11.878252450683773</v>
      </c>
      <c r="W45" s="16">
        <f>IFERROR(K45/W$3*1000,0)</f>
        <v>21.266398269109633</v>
      </c>
      <c r="X45" s="16">
        <f>IFERROR(L45/X$3*1000,0)</f>
        <v>27.184281842818432</v>
      </c>
      <c r="Y45" s="16">
        <f>IFERROR(M45/Y$3*1000,0)</f>
        <v>212.23985009369144</v>
      </c>
      <c r="Z45" s="16">
        <f>IFERROR(N45/Z$3*1000,0)</f>
        <v>113.8643607294007</v>
      </c>
    </row>
    <row r="46" spans="2:26" hidden="1" outlineLevel="1" collapsed="1" x14ac:dyDescent="0.3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2:26" collapsed="1" x14ac:dyDescent="0.3">
      <c r="B47" s="150" t="s">
        <v>62</v>
      </c>
      <c r="C47" s="150" t="s">
        <v>63</v>
      </c>
      <c r="D47" s="13">
        <f t="shared" ref="D47:F47" si="46">SUM(D48:D54)</f>
        <v>4126.7219999999998</v>
      </c>
      <c r="E47" s="13">
        <f t="shared" si="46"/>
        <v>6362.759</v>
      </c>
      <c r="F47" s="13">
        <f t="shared" si="46"/>
        <v>7034.7829999999994</v>
      </c>
      <c r="G47" s="13">
        <f t="shared" ref="G47:L47" si="47">SUM(G48:G54)</f>
        <v>3947.2909999999993</v>
      </c>
      <c r="H47" s="13">
        <f t="shared" si="47"/>
        <v>6254.7900000000009</v>
      </c>
      <c r="I47" s="13">
        <f t="shared" si="47"/>
        <v>9130.4669999999987</v>
      </c>
      <c r="J47" s="13">
        <f t="shared" si="47"/>
        <v>21758.606</v>
      </c>
      <c r="K47" s="13">
        <f t="shared" si="47"/>
        <v>27905.832999999999</v>
      </c>
      <c r="L47" s="13">
        <f t="shared" si="47"/>
        <v>24490.928</v>
      </c>
      <c r="M47" s="13">
        <v>26726</v>
      </c>
      <c r="N47" s="13">
        <f>SUM(N48:N54)</f>
        <v>28653.388999999999</v>
      </c>
      <c r="P47" s="13">
        <f t="shared" ref="P47" si="48">SUM(P48:P54)</f>
        <v>13898.89865615843</v>
      </c>
      <c r="Q47" s="13">
        <f t="shared" ref="Q47" si="49">SUM(Q48:Q54)</f>
        <v>20206.291085775985</v>
      </c>
      <c r="R47" s="13">
        <f t="shared" ref="R47" si="50">SUM(R48:R54)</f>
        <v>22466.731604496679</v>
      </c>
      <c r="S47" s="13">
        <f>SUM(S48:S54)</f>
        <v>12606.320260602966</v>
      </c>
      <c r="T47" s="13">
        <f>SUM(T48:T54)</f>
        <v>20110.571667416887</v>
      </c>
      <c r="U47" s="13">
        <f t="shared" ref="U47:U54" si="51">IFERROR(I47/T$3*1000,0)</f>
        <v>29439.823950473976</v>
      </c>
      <c r="V47" s="13">
        <f t="shared" ref="V47:Z54" si="52">IFERROR(J47/V$3*1000,0)</f>
        <v>65831.435314050599</v>
      </c>
      <c r="W47" s="13">
        <f t="shared" si="52"/>
        <v>76427.116369512223</v>
      </c>
      <c r="X47" s="13">
        <f t="shared" si="52"/>
        <v>66371.07859078591</v>
      </c>
      <c r="Y47" s="13">
        <f t="shared" si="52"/>
        <v>66773.266708307303</v>
      </c>
      <c r="Z47" s="13">
        <f t="shared" si="52"/>
        <v>74856.02434818956</v>
      </c>
    </row>
    <row r="48" spans="2:26" x14ac:dyDescent="0.3">
      <c r="B48" t="s">
        <v>64</v>
      </c>
      <c r="C48" t="s">
        <v>24</v>
      </c>
      <c r="D48" s="9">
        <v>2940.2759999999998</v>
      </c>
      <c r="E48" s="9">
        <v>2417.0059999999999</v>
      </c>
      <c r="F48" s="9">
        <v>2374.165</v>
      </c>
      <c r="G48" s="9">
        <v>1924.751</v>
      </c>
      <c r="H48" s="9">
        <v>1789.587</v>
      </c>
      <c r="I48" s="9">
        <v>5263.1850000000004</v>
      </c>
      <c r="J48" s="9">
        <v>7883.8450000000003</v>
      </c>
      <c r="K48" s="9">
        <v>8411.3970000000008</v>
      </c>
      <c r="L48" s="9">
        <v>6583.098</v>
      </c>
      <c r="M48" s="9">
        <v>12658.273999999999</v>
      </c>
      <c r="N48" s="9">
        <v>12658.273999999999</v>
      </c>
      <c r="P48" s="9">
        <f t="shared" ref="P48:R54" si="53">IFERROR(D48/P$3*1000,0)</f>
        <v>9902.9200767909442</v>
      </c>
      <c r="Q48" s="9">
        <f t="shared" si="53"/>
        <v>7675.7153291625646</v>
      </c>
      <c r="R48" s="9">
        <f t="shared" si="53"/>
        <v>7582.284747061829</v>
      </c>
      <c r="S48" s="9">
        <f t="shared" ref="S48:T54" si="54">IFERROR(G48/R$3*1000,0)</f>
        <v>6147.0075370464992</v>
      </c>
      <c r="T48" s="9">
        <f t="shared" si="54"/>
        <v>5753.92900778085</v>
      </c>
      <c r="U48" s="9">
        <f t="shared" si="51"/>
        <v>16970.352099052045</v>
      </c>
      <c r="V48" s="9">
        <f t="shared" si="52"/>
        <v>23852.853079995159</v>
      </c>
      <c r="W48" s="9">
        <f t="shared" si="52"/>
        <v>23036.718429052671</v>
      </c>
      <c r="X48" s="9">
        <f t="shared" si="52"/>
        <v>17840.373983739839</v>
      </c>
      <c r="Y48" s="9">
        <f t="shared" si="52"/>
        <v>31625.918800749532</v>
      </c>
      <c r="Z48" s="9">
        <f t="shared" si="52"/>
        <v>33069.319191180315</v>
      </c>
    </row>
    <row r="49" spans="2:26" x14ac:dyDescent="0.3">
      <c r="B49" t="s">
        <v>65</v>
      </c>
      <c r="C49" t="s">
        <v>66</v>
      </c>
      <c r="D49" s="9">
        <v>498.40100000000001</v>
      </c>
      <c r="E49" s="9">
        <v>3208.7080000000001</v>
      </c>
      <c r="F49" s="9">
        <v>3301.5909999999999</v>
      </c>
      <c r="G49" s="9">
        <v>757.08699999999999</v>
      </c>
      <c r="H49" s="9">
        <v>3483.096</v>
      </c>
      <c r="I49" s="9">
        <v>2624.241</v>
      </c>
      <c r="J49" s="9">
        <v>10909.019</v>
      </c>
      <c r="K49" s="9">
        <v>14889</v>
      </c>
      <c r="L49" s="9">
        <v>12658.273999999999</v>
      </c>
      <c r="M49" s="9">
        <v>6670.0510000000004</v>
      </c>
      <c r="N49" s="9">
        <v>9579.9490000000005</v>
      </c>
      <c r="O49" s="9"/>
      <c r="P49" s="9">
        <f t="shared" si="53"/>
        <v>1678.6265198208209</v>
      </c>
      <c r="Q49" s="9">
        <f t="shared" si="53"/>
        <v>10189.932992473563</v>
      </c>
      <c r="R49" s="9">
        <f t="shared" si="53"/>
        <v>10544.171563617781</v>
      </c>
      <c r="S49" s="9">
        <f t="shared" si="54"/>
        <v>2417.8813234542667</v>
      </c>
      <c r="T49" s="9">
        <f t="shared" si="54"/>
        <v>11198.945405440165</v>
      </c>
      <c r="U49" s="9">
        <f t="shared" si="51"/>
        <v>8461.4722383439748</v>
      </c>
      <c r="V49" s="9">
        <f t="shared" si="52"/>
        <v>33005.624470531286</v>
      </c>
      <c r="W49" s="9">
        <f t="shared" si="52"/>
        <v>40777.257415167202</v>
      </c>
      <c r="X49" s="9">
        <f t="shared" si="52"/>
        <v>34304.265582655826</v>
      </c>
      <c r="Y49" s="9">
        <f t="shared" si="52"/>
        <v>16664.712054965647</v>
      </c>
      <c r="Z49" s="9">
        <f t="shared" si="52"/>
        <v>25027.297664454782</v>
      </c>
    </row>
    <row r="50" spans="2:26" x14ac:dyDescent="0.3">
      <c r="B50" t="s">
        <v>67</v>
      </c>
      <c r="C50" t="s">
        <v>68</v>
      </c>
      <c r="D50" s="9">
        <v>47.366</v>
      </c>
      <c r="E50" s="9">
        <v>49.792000000000002</v>
      </c>
      <c r="F50" s="9">
        <v>144.36099999999999</v>
      </c>
      <c r="G50" s="9">
        <v>126.687</v>
      </c>
      <c r="H50" s="9">
        <v>108.971</v>
      </c>
      <c r="I50" s="9">
        <v>286.298</v>
      </c>
      <c r="J50" s="9">
        <v>917.12199999999996</v>
      </c>
      <c r="K50" s="9">
        <v>1047.4059999999999</v>
      </c>
      <c r="L50" s="9">
        <v>1687.704</v>
      </c>
      <c r="M50" s="9">
        <v>1848.597</v>
      </c>
      <c r="N50" s="9">
        <v>2160.0810000000001</v>
      </c>
      <c r="O50" s="12"/>
      <c r="P50" s="9">
        <f t="shared" si="53"/>
        <v>159.52982385234583</v>
      </c>
      <c r="Q50" s="9">
        <f t="shared" si="53"/>
        <v>158.12505954460289</v>
      </c>
      <c r="R50" s="9">
        <f t="shared" si="53"/>
        <v>461.04049565661728</v>
      </c>
      <c r="S50" s="9">
        <f t="shared" si="54"/>
        <v>404.59568216658147</v>
      </c>
      <c r="T50" s="9">
        <f t="shared" si="54"/>
        <v>350.36653591408918</v>
      </c>
      <c r="U50" s="9">
        <f t="shared" si="51"/>
        <v>923.12504030437867</v>
      </c>
      <c r="V50" s="9">
        <f t="shared" si="52"/>
        <v>2774.7851869780952</v>
      </c>
      <c r="W50" s="9">
        <f t="shared" si="52"/>
        <v>2868.583792074056</v>
      </c>
      <c r="X50" s="9">
        <f t="shared" si="52"/>
        <v>4573.7235772357726</v>
      </c>
      <c r="Y50" s="9">
        <f t="shared" si="52"/>
        <v>4618.6058713304183</v>
      </c>
      <c r="Z50" s="9">
        <f t="shared" si="52"/>
        <v>5643.1396624693043</v>
      </c>
    </row>
    <row r="51" spans="2:26" outlineLevel="1" x14ac:dyDescent="0.3">
      <c r="B51" t="s">
        <v>69</v>
      </c>
      <c r="C51" t="s">
        <v>70</v>
      </c>
      <c r="D51" s="9">
        <v>53.197000000000003</v>
      </c>
      <c r="E51" s="9">
        <v>71.197000000000003</v>
      </c>
      <c r="F51" s="9">
        <v>206.76300000000001</v>
      </c>
      <c r="G51" s="9">
        <v>268.86500000000001</v>
      </c>
      <c r="H51" s="9">
        <v>325.80799999999999</v>
      </c>
      <c r="I51" s="9">
        <v>277.54300000000001</v>
      </c>
      <c r="J51" s="9">
        <v>599.71600000000001</v>
      </c>
      <c r="K51" s="9">
        <v>866.55</v>
      </c>
      <c r="L51" s="9">
        <v>1487.761</v>
      </c>
      <c r="M51" s="9">
        <v>2248.154</v>
      </c>
      <c r="N51" s="9">
        <v>825.57299999999998</v>
      </c>
      <c r="P51" s="9">
        <f t="shared" si="53"/>
        <v>179.16877168165436</v>
      </c>
      <c r="Q51" s="9">
        <f t="shared" si="53"/>
        <v>226.10117818920895</v>
      </c>
      <c r="R51" s="9">
        <f t="shared" si="53"/>
        <v>660.33150229943794</v>
      </c>
      <c r="S51" s="9">
        <f t="shared" si="54"/>
        <v>858.66440981093513</v>
      </c>
      <c r="T51" s="9">
        <f t="shared" si="54"/>
        <v>1047.5467815574561</v>
      </c>
      <c r="U51" s="9">
        <f t="shared" si="51"/>
        <v>894.89585348552271</v>
      </c>
      <c r="V51" s="9">
        <f t="shared" si="52"/>
        <v>1814.4620597845819</v>
      </c>
      <c r="W51" s="9">
        <f t="shared" si="52"/>
        <v>2373.2643168186673</v>
      </c>
      <c r="X51" s="9">
        <f t="shared" si="52"/>
        <v>4031.8726287262871</v>
      </c>
      <c r="Y51" s="9">
        <f t="shared" si="52"/>
        <v>5616.8744534665839</v>
      </c>
      <c r="Z51" s="9">
        <f t="shared" si="52"/>
        <v>2156.7819635299652</v>
      </c>
    </row>
    <row r="52" spans="2:26" outlineLevel="1" x14ac:dyDescent="0.3">
      <c r="B52" t="s">
        <v>71</v>
      </c>
      <c r="C52" t="s">
        <v>72</v>
      </c>
      <c r="D52" s="9">
        <v>49.088999999999999</v>
      </c>
      <c r="E52" s="9">
        <v>52.817</v>
      </c>
      <c r="F52" s="9">
        <v>621.59400000000005</v>
      </c>
      <c r="G52" s="9">
        <v>551.67600000000004</v>
      </c>
      <c r="H52" s="9">
        <v>326.08999999999997</v>
      </c>
      <c r="I52" s="9">
        <v>251.739</v>
      </c>
      <c r="J52" s="9">
        <v>568.67999999999995</v>
      </c>
      <c r="K52" s="9">
        <v>850.49300000000005</v>
      </c>
      <c r="L52" s="9">
        <v>944.13599999999997</v>
      </c>
      <c r="M52" s="9">
        <v>1247.7650000000001</v>
      </c>
      <c r="N52" s="9">
        <v>1221.5550000000001</v>
      </c>
      <c r="P52" s="9">
        <f t="shared" si="53"/>
        <v>165.33292917045566</v>
      </c>
      <c r="Q52" s="9">
        <f t="shared" si="53"/>
        <v>167.73158880879038</v>
      </c>
      <c r="R52" s="9">
        <f t="shared" si="53"/>
        <v>1985.1622381195709</v>
      </c>
      <c r="S52" s="9">
        <f t="shared" si="54"/>
        <v>1761.8676545733267</v>
      </c>
      <c r="T52" s="9">
        <f t="shared" si="54"/>
        <v>1048.4534756607291</v>
      </c>
      <c r="U52" s="9">
        <f t="shared" si="51"/>
        <v>811.69471851421952</v>
      </c>
      <c r="V52" s="9">
        <f t="shared" si="52"/>
        <v>1720.5615393924725</v>
      </c>
      <c r="W52" s="9">
        <f t="shared" si="52"/>
        <v>2329.2881987237424</v>
      </c>
      <c r="X52" s="9">
        <f t="shared" si="52"/>
        <v>2558.6341463414633</v>
      </c>
      <c r="Y52" s="9">
        <f t="shared" si="52"/>
        <v>3117.4640849469088</v>
      </c>
      <c r="Z52" s="9">
        <f t="shared" si="52"/>
        <v>3191.2717487852037</v>
      </c>
    </row>
    <row r="53" spans="2:26" outlineLevel="1" x14ac:dyDescent="0.3">
      <c r="B53" t="s">
        <v>73</v>
      </c>
      <c r="C53" t="s">
        <v>74</v>
      </c>
      <c r="D53" s="9">
        <v>59.533000000000001</v>
      </c>
      <c r="E53" s="9">
        <v>87.713999999999999</v>
      </c>
      <c r="F53" s="9">
        <v>386.30900000000003</v>
      </c>
      <c r="G53" s="9">
        <v>318.22500000000002</v>
      </c>
      <c r="H53" s="9">
        <v>221.238</v>
      </c>
      <c r="I53" s="9">
        <v>141.24799999999999</v>
      </c>
      <c r="J53" s="9">
        <v>535.67399999999998</v>
      </c>
      <c r="K53" s="9">
        <v>436.86399999999998</v>
      </c>
      <c r="L53" s="9">
        <v>593.86500000000001</v>
      </c>
      <c r="M53" s="9">
        <v>805.77499999999998</v>
      </c>
      <c r="N53" s="9">
        <v>847.84699999999998</v>
      </c>
      <c r="P53" s="9">
        <f t="shared" si="53"/>
        <v>200.50857162102992</v>
      </c>
      <c r="Q53" s="9">
        <f t="shared" si="53"/>
        <v>278.55441582774938</v>
      </c>
      <c r="R53" s="9">
        <f t="shared" si="53"/>
        <v>1233.741057741441</v>
      </c>
      <c r="S53" s="9">
        <f t="shared" si="54"/>
        <v>1016.303653551354</v>
      </c>
      <c r="T53" s="9">
        <f t="shared" si="54"/>
        <v>711.33046106359723</v>
      </c>
      <c r="U53" s="9">
        <f t="shared" si="51"/>
        <v>455.43303024440576</v>
      </c>
      <c r="V53" s="9">
        <f t="shared" si="52"/>
        <v>1620.7007140263827</v>
      </c>
      <c r="W53" s="9">
        <f t="shared" si="52"/>
        <v>1196.4615342480761</v>
      </c>
      <c r="X53" s="9">
        <f t="shared" si="52"/>
        <v>1609.3902439024391</v>
      </c>
      <c r="Y53" s="9">
        <f t="shared" si="52"/>
        <v>2013.1792629606498</v>
      </c>
      <c r="Z53" s="9">
        <f t="shared" si="52"/>
        <v>2214.9720466064059</v>
      </c>
    </row>
    <row r="54" spans="2:26" outlineLevel="1" x14ac:dyDescent="0.3">
      <c r="B54" t="s">
        <v>75</v>
      </c>
      <c r="C54" t="s">
        <v>76</v>
      </c>
      <c r="D54" s="9">
        <v>478.86</v>
      </c>
      <c r="E54" s="9">
        <v>475.52499999999998</v>
      </c>
      <c r="F54" s="9">
        <v>0</v>
      </c>
      <c r="G54" s="9">
        <v>0</v>
      </c>
      <c r="H54" s="11">
        <v>0</v>
      </c>
      <c r="I54" s="11">
        <v>286.21300000000002</v>
      </c>
      <c r="J54" s="11">
        <v>344.55</v>
      </c>
      <c r="K54" s="11">
        <v>1404.123</v>
      </c>
      <c r="L54" s="11">
        <v>536.09</v>
      </c>
      <c r="M54" s="11">
        <v>1238.0160000000001</v>
      </c>
      <c r="N54" s="11">
        <v>1360.11</v>
      </c>
      <c r="P54" s="9">
        <f t="shared" si="53"/>
        <v>1612.8119632211781</v>
      </c>
      <c r="Q54" s="9">
        <f t="shared" si="53"/>
        <v>1510.1305217695069</v>
      </c>
      <c r="R54" s="9">
        <f t="shared" si="53"/>
        <v>0</v>
      </c>
      <c r="S54" s="9">
        <f t="shared" si="54"/>
        <v>0</v>
      </c>
      <c r="T54" s="9">
        <f t="shared" si="54"/>
        <v>0</v>
      </c>
      <c r="U54" s="9">
        <f t="shared" si="51"/>
        <v>922.85097052943843</v>
      </c>
      <c r="V54" s="9">
        <f t="shared" si="52"/>
        <v>1042.4482633426117</v>
      </c>
      <c r="W54" s="9">
        <f t="shared" si="52"/>
        <v>3845.5426834278205</v>
      </c>
      <c r="X54" s="9">
        <f t="shared" si="52"/>
        <v>1452.8184281842821</v>
      </c>
      <c r="Y54" s="9">
        <f t="shared" si="52"/>
        <v>3093.1068082448473</v>
      </c>
      <c r="Z54" s="9">
        <f t="shared" si="52"/>
        <v>3553.2420711635928</v>
      </c>
    </row>
    <row r="55" spans="2:26" outlineLevel="1" collapsed="1" x14ac:dyDescent="0.3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2:26" x14ac:dyDescent="0.3">
      <c r="B56" s="150" t="s">
        <v>77</v>
      </c>
      <c r="C56" s="150" t="s">
        <v>78</v>
      </c>
      <c r="D56" s="13">
        <f t="shared" ref="D56:G56" si="55">SUM(D57:D64)</f>
        <v>2536.5129999999999</v>
      </c>
      <c r="E56" s="13">
        <f t="shared" si="55"/>
        <v>1898.0939999999998</v>
      </c>
      <c r="F56" s="13">
        <f t="shared" si="55"/>
        <v>4360.8360000000002</v>
      </c>
      <c r="G56" s="13">
        <f t="shared" si="55"/>
        <v>7303.8940000000002</v>
      </c>
      <c r="H56" s="13">
        <f t="shared" ref="H56:M56" si="56">SUM(H57:H64)</f>
        <v>5277.835</v>
      </c>
      <c r="I56" s="13">
        <f t="shared" si="56"/>
        <v>8583.896999999999</v>
      </c>
      <c r="J56" s="13">
        <f t="shared" si="56"/>
        <v>10066.017</v>
      </c>
      <c r="K56" s="13">
        <f t="shared" si="56"/>
        <v>8430.7999999999993</v>
      </c>
      <c r="L56" s="13">
        <f t="shared" si="56"/>
        <v>17260.502</v>
      </c>
      <c r="M56" s="13">
        <f t="shared" si="56"/>
        <v>46615.9</v>
      </c>
      <c r="N56" s="13">
        <f t="shared" ref="N56" si="57">SUM(N57:N64)</f>
        <v>29470.275999999998</v>
      </c>
      <c r="P56" s="13">
        <f t="shared" ref="P56" si="58">SUM(P57:P64)</f>
        <v>8543.036610420666</v>
      </c>
      <c r="Q56" s="13">
        <f t="shared" ref="Q56" si="59">SUM(Q57:Q64)</f>
        <v>6027.8001841913047</v>
      </c>
      <c r="R56" s="13">
        <f t="shared" ref="R56" si="60">SUM(R57:R64)</f>
        <v>13927.043944813489</v>
      </c>
      <c r="S56" s="13">
        <f t="shared" ref="S56" si="61">SUM(S57:S64)</f>
        <v>23326.181655595305</v>
      </c>
      <c r="T56" s="13">
        <f>SUM(T57:T64)</f>
        <v>16969.439264355991</v>
      </c>
      <c r="U56" s="13">
        <f>IFERROR(I56/T$3*1000,0)</f>
        <v>27677.490810601663</v>
      </c>
      <c r="V56" s="13">
        <f t="shared" ref="V56:V64" si="62">IFERROR(J56/V$3*1000,0)</f>
        <v>30455.091976279804</v>
      </c>
      <c r="W56" s="13">
        <f t="shared" ref="W56:W64" si="63">IFERROR(K56/W$3*1000,0)</f>
        <v>23089.858406594911</v>
      </c>
      <c r="X56" s="13">
        <f t="shared" ref="X56:X64" si="64">IFERROR(L56/X$3*1000,0)</f>
        <v>46776.428184281838</v>
      </c>
      <c r="Y56" s="13">
        <f t="shared" ref="Y56:Z64" si="65">IFERROR(M56/Y$3*1000,0)</f>
        <v>116466.95815115554</v>
      </c>
      <c r="Z56" s="13">
        <f t="shared" si="65"/>
        <v>76990.11442604108</v>
      </c>
    </row>
    <row r="57" spans="2:26" x14ac:dyDescent="0.3">
      <c r="B57" t="s">
        <v>79</v>
      </c>
      <c r="C57" s="94" t="s">
        <v>312</v>
      </c>
      <c r="D57" s="9">
        <v>1079.4010000000001</v>
      </c>
      <c r="E57" s="9">
        <v>299.99799999999999</v>
      </c>
      <c r="F57" s="9">
        <v>733.95399999999995</v>
      </c>
      <c r="G57" s="9">
        <v>500.62400000000002</v>
      </c>
      <c r="H57" s="9">
        <v>522.36400000000003</v>
      </c>
      <c r="I57" s="9">
        <v>614.06200000000001</v>
      </c>
      <c r="J57" s="9">
        <v>463.16500000000002</v>
      </c>
      <c r="K57" s="9">
        <v>929.69299999999998</v>
      </c>
      <c r="L57" s="9">
        <v>419.77800000000002</v>
      </c>
      <c r="M57" s="9">
        <v>7185.732</v>
      </c>
      <c r="N57" s="9">
        <v>1703.817</v>
      </c>
      <c r="P57" s="9">
        <f t="shared" ref="P57:R58" si="66">IFERROR(D57/P$3*1000,0)</f>
        <v>3635.4484523929809</v>
      </c>
      <c r="Q57" s="9">
        <f t="shared" si="66"/>
        <v>952.70729461081646</v>
      </c>
      <c r="R57" s="9">
        <f t="shared" si="66"/>
        <v>2344.0022994379151</v>
      </c>
      <c r="S57" s="9">
        <f>IFERROR(G57/R$3*1000,0)</f>
        <v>1598.8247317322432</v>
      </c>
      <c r="T57" s="9">
        <f>IFERROR(H57/S$3*1000,0)</f>
        <v>1679.5190019934412</v>
      </c>
      <c r="U57" s="9">
        <f>IFERROR(I57/T$3*1000,0)</f>
        <v>1979.9509898755402</v>
      </c>
      <c r="V57" s="9">
        <f t="shared" si="62"/>
        <v>1401.3221590221469</v>
      </c>
      <c r="W57" s="9">
        <f t="shared" si="63"/>
        <v>2546.1972448169145</v>
      </c>
      <c r="X57" s="9">
        <f t="shared" si="64"/>
        <v>1137.6097560975611</v>
      </c>
      <c r="Y57" s="9">
        <f t="shared" si="65"/>
        <v>17953.109306683324</v>
      </c>
      <c r="Z57" s="9">
        <f t="shared" si="65"/>
        <v>4451.165160144209</v>
      </c>
    </row>
    <row r="58" spans="2:26" x14ac:dyDescent="0.3">
      <c r="B58" t="s">
        <v>80</v>
      </c>
      <c r="C58" t="s">
        <v>179</v>
      </c>
      <c r="D58" s="17">
        <v>0</v>
      </c>
      <c r="E58" s="17">
        <v>0</v>
      </c>
      <c r="F58" s="17">
        <v>0</v>
      </c>
      <c r="G58" s="9">
        <v>2643.366</v>
      </c>
      <c r="H58" s="9">
        <v>24.731999999999999</v>
      </c>
      <c r="I58" s="9">
        <v>982.68299999999999</v>
      </c>
      <c r="J58" s="9">
        <v>2215.114</v>
      </c>
      <c r="K58" s="9">
        <v>0</v>
      </c>
      <c r="L58" s="9">
        <v>2312.1379999999999</v>
      </c>
      <c r="M58" s="9">
        <v>0</v>
      </c>
      <c r="N58" s="9">
        <v>0</v>
      </c>
      <c r="P58" s="9">
        <f t="shared" si="66"/>
        <v>0</v>
      </c>
      <c r="Q58" s="9">
        <f t="shared" si="66"/>
        <v>0</v>
      </c>
      <c r="R58" s="9">
        <f t="shared" si="66"/>
        <v>0</v>
      </c>
      <c r="S58" s="9">
        <f>IFERROR(G58/R$3*1000,0)</f>
        <v>8442.0222278998463</v>
      </c>
      <c r="T58" s="9">
        <f>IFERROR(H58/S$3*1000,0)</f>
        <v>79.519001993440938</v>
      </c>
      <c r="U58" s="9">
        <f>IFERROR(I58/T$3*1000,0)</f>
        <v>3168.5142193847942</v>
      </c>
      <c r="V58" s="9">
        <f t="shared" si="62"/>
        <v>6701.9060873774661</v>
      </c>
      <c r="W58" s="9">
        <f t="shared" si="63"/>
        <v>0</v>
      </c>
      <c r="X58" s="9">
        <f t="shared" si="64"/>
        <v>6265.9566395663951</v>
      </c>
      <c r="Y58" s="9">
        <f t="shared" si="65"/>
        <v>0</v>
      </c>
      <c r="Z58" s="9">
        <f t="shared" si="65"/>
        <v>0</v>
      </c>
    </row>
    <row r="59" spans="2:26" x14ac:dyDescent="0.3">
      <c r="B59" t="s">
        <v>338</v>
      </c>
      <c r="C59" t="s">
        <v>339</v>
      </c>
      <c r="D59" s="17"/>
      <c r="E59" s="17"/>
      <c r="F59" s="17"/>
      <c r="G59" s="9"/>
      <c r="H59" s="9"/>
      <c r="I59" s="9"/>
      <c r="J59" s="9">
        <v>108.55500000000001</v>
      </c>
      <c r="K59" s="9">
        <v>154.91200000000001</v>
      </c>
      <c r="L59" s="9">
        <v>237.744</v>
      </c>
      <c r="M59" s="9">
        <v>391.6</v>
      </c>
      <c r="N59" s="9">
        <v>530.56600000000003</v>
      </c>
      <c r="O59" s="9"/>
      <c r="P59" s="9"/>
      <c r="Q59" s="9"/>
      <c r="R59" s="9"/>
      <c r="S59" s="9"/>
      <c r="T59" s="9"/>
      <c r="U59" s="9"/>
      <c r="V59" s="9">
        <f t="shared" si="62"/>
        <v>328.43700835047804</v>
      </c>
      <c r="W59" s="9">
        <f t="shared" si="63"/>
        <v>424.26533015638267</v>
      </c>
      <c r="X59" s="9">
        <f t="shared" si="64"/>
        <v>644.29268292682923</v>
      </c>
      <c r="Y59" s="9">
        <f t="shared" si="65"/>
        <v>978.38850718301057</v>
      </c>
      <c r="Z59" s="9">
        <f t="shared" si="65"/>
        <v>1386.0860024034696</v>
      </c>
    </row>
    <row r="60" spans="2:26" outlineLevel="1" x14ac:dyDescent="0.3">
      <c r="B60" t="s">
        <v>81</v>
      </c>
      <c r="C60" t="s">
        <v>82</v>
      </c>
      <c r="D60" s="9">
        <v>872.524</v>
      </c>
      <c r="E60" s="9">
        <v>958.49300000000005</v>
      </c>
      <c r="F60" s="9">
        <v>1596.1759999999999</v>
      </c>
      <c r="G60" s="9">
        <v>2533.9160000000002</v>
      </c>
      <c r="H60" s="9">
        <v>2092.355</v>
      </c>
      <c r="I60" s="9">
        <v>2419.6129999999998</v>
      </c>
      <c r="J60" s="9">
        <v>1963.934</v>
      </c>
      <c r="K60" s="9">
        <v>2308.413</v>
      </c>
      <c r="L60" s="9">
        <v>4546.4979999999996</v>
      </c>
      <c r="M60" s="9">
        <v>11282.617</v>
      </c>
      <c r="N60" s="9">
        <v>3404.049</v>
      </c>
      <c r="O60" s="9"/>
      <c r="P60" s="9">
        <f t="shared" ref="P60:R64" si="67">IFERROR(D60/P$3*1000,0)</f>
        <v>2938.6817554140985</v>
      </c>
      <c r="Q60" s="9">
        <f t="shared" si="67"/>
        <v>3043.8978690971453</v>
      </c>
      <c r="R60" s="9">
        <f t="shared" si="67"/>
        <v>5097.649463464486</v>
      </c>
      <c r="S60" s="9">
        <f t="shared" ref="S60:U64" si="68">IFERROR(G60/R$3*1000,0)</f>
        <v>8092.4757281553411</v>
      </c>
      <c r="T60" s="9">
        <f t="shared" si="68"/>
        <v>6727.3969519645043</v>
      </c>
      <c r="U60" s="9">
        <f t="shared" si="68"/>
        <v>7801.6798865028695</v>
      </c>
      <c r="V60" s="9">
        <f t="shared" si="62"/>
        <v>5941.9520755173671</v>
      </c>
      <c r="W60" s="9">
        <f t="shared" si="63"/>
        <v>6322.1674472105824</v>
      </c>
      <c r="X60" s="9">
        <f t="shared" si="64"/>
        <v>12321.132791327913</v>
      </c>
      <c r="Y60" s="9">
        <f t="shared" si="65"/>
        <v>28188.924422236101</v>
      </c>
      <c r="Z60" s="9">
        <f t="shared" si="65"/>
        <v>8892.9646272010032</v>
      </c>
    </row>
    <row r="61" spans="2:26" outlineLevel="1" x14ac:dyDescent="0.3">
      <c r="B61" t="s">
        <v>83</v>
      </c>
      <c r="C61" t="s">
        <v>84</v>
      </c>
      <c r="D61" s="9">
        <v>0.4</v>
      </c>
      <c r="E61" s="9">
        <v>0</v>
      </c>
      <c r="F61" s="9">
        <v>102.04600000000001</v>
      </c>
      <c r="G61" s="9">
        <v>41.305999999999997</v>
      </c>
      <c r="H61" s="9">
        <v>305.70400000000001</v>
      </c>
      <c r="I61" s="9">
        <v>602.53300000000002</v>
      </c>
      <c r="J61" s="9">
        <v>1104.3689999999999</v>
      </c>
      <c r="K61" s="9">
        <v>189.13</v>
      </c>
      <c r="L61" s="9">
        <v>0</v>
      </c>
      <c r="M61" s="9">
        <v>324.16000000000003</v>
      </c>
      <c r="N61" s="9">
        <v>3138.8130000000001</v>
      </c>
      <c r="O61" s="9"/>
      <c r="P61" s="9">
        <f t="shared" si="67"/>
        <v>1.347209592132296</v>
      </c>
      <c r="Q61" s="9">
        <f t="shared" si="67"/>
        <v>0</v>
      </c>
      <c r="R61" s="9">
        <f t="shared" si="67"/>
        <v>325.90061318344402</v>
      </c>
      <c r="S61" s="9">
        <f t="shared" si="68"/>
        <v>131.91747572815532</v>
      </c>
      <c r="T61" s="9">
        <f t="shared" si="68"/>
        <v>982.90785158510721</v>
      </c>
      <c r="U61" s="9">
        <f t="shared" si="68"/>
        <v>1942.7774553427487</v>
      </c>
      <c r="V61" s="9">
        <f t="shared" si="62"/>
        <v>3341.3076364516519</v>
      </c>
      <c r="W61" s="9">
        <f t="shared" si="63"/>
        <v>517.97989757072821</v>
      </c>
      <c r="X61" s="9">
        <f t="shared" si="64"/>
        <v>0</v>
      </c>
      <c r="Y61" s="9">
        <f t="shared" si="65"/>
        <v>809.89381636477208</v>
      </c>
      <c r="Z61" s="9">
        <f t="shared" si="65"/>
        <v>8200.0444119337499</v>
      </c>
    </row>
    <row r="62" spans="2:26" outlineLevel="1" x14ac:dyDescent="0.3">
      <c r="B62" t="s">
        <v>85</v>
      </c>
      <c r="C62" t="s">
        <v>86</v>
      </c>
      <c r="D62" s="9">
        <v>294.46600000000001</v>
      </c>
      <c r="E62" s="9">
        <v>266.428</v>
      </c>
      <c r="F62" s="9">
        <v>1923.877</v>
      </c>
      <c r="G62" s="9">
        <v>1468.8589999999999</v>
      </c>
      <c r="H62" s="9">
        <v>1683.2329999999999</v>
      </c>
      <c r="I62" s="9">
        <v>3584.8510000000001</v>
      </c>
      <c r="J62" s="9">
        <v>3654.71</v>
      </c>
      <c r="K62" s="9">
        <v>4522.9219999999996</v>
      </c>
      <c r="L62" s="9">
        <v>9328.1959999999999</v>
      </c>
      <c r="M62" s="9">
        <v>24885.618999999999</v>
      </c>
      <c r="N62" s="9">
        <v>17900.511999999999</v>
      </c>
      <c r="O62" s="9"/>
      <c r="P62" s="9">
        <f t="shared" si="67"/>
        <v>991.76854939207158</v>
      </c>
      <c r="Q62" s="9">
        <f t="shared" si="67"/>
        <v>846.09863761948623</v>
      </c>
      <c r="R62" s="9">
        <f t="shared" si="67"/>
        <v>6144.2162749105773</v>
      </c>
      <c r="S62" s="9">
        <f t="shared" si="68"/>
        <v>4691.041773122126</v>
      </c>
      <c r="T62" s="9">
        <f t="shared" si="68"/>
        <v>5411.9767217542285</v>
      </c>
      <c r="U62" s="9">
        <f t="shared" si="68"/>
        <v>11558.815373702198</v>
      </c>
      <c r="V62" s="9">
        <f t="shared" si="62"/>
        <v>11057.454919520756</v>
      </c>
      <c r="W62" s="9">
        <f t="shared" si="63"/>
        <v>12387.15525977049</v>
      </c>
      <c r="X62" s="9">
        <f t="shared" si="64"/>
        <v>25279.663956639568</v>
      </c>
      <c r="Y62" s="9">
        <f t="shared" si="65"/>
        <v>62175.188007495315</v>
      </c>
      <c r="Z62" s="9">
        <f t="shared" si="65"/>
        <v>46764.491352735255</v>
      </c>
    </row>
    <row r="63" spans="2:26" outlineLevel="1" x14ac:dyDescent="0.3">
      <c r="B63" t="s">
        <v>87</v>
      </c>
      <c r="C63" t="s">
        <v>88</v>
      </c>
      <c r="D63" s="9">
        <v>0</v>
      </c>
      <c r="E63" s="9">
        <v>1.367</v>
      </c>
      <c r="F63" s="9">
        <v>4.7830000000000004</v>
      </c>
      <c r="G63" s="9">
        <v>9.0730000000000004</v>
      </c>
      <c r="H63" s="9">
        <v>9.8450000000000006</v>
      </c>
      <c r="I63" s="9">
        <v>15.425000000000001</v>
      </c>
      <c r="J63" s="9">
        <v>58.207000000000001</v>
      </c>
      <c r="K63" s="9">
        <v>279.23</v>
      </c>
      <c r="L63" s="9">
        <v>407.15899999999999</v>
      </c>
      <c r="M63" s="9">
        <v>1046.9179999999999</v>
      </c>
      <c r="N63" s="9">
        <v>2763.2379999999998</v>
      </c>
      <c r="O63" s="9"/>
      <c r="P63" s="9">
        <f t="shared" si="67"/>
        <v>0</v>
      </c>
      <c r="Q63" s="9">
        <f t="shared" si="67"/>
        <v>4.3411985137667122</v>
      </c>
      <c r="R63" s="9">
        <f t="shared" si="67"/>
        <v>15.27529381706694</v>
      </c>
      <c r="S63" s="9">
        <f t="shared" si="68"/>
        <v>28.976111394992337</v>
      </c>
      <c r="T63" s="9">
        <f t="shared" si="68"/>
        <v>31.653912931644268</v>
      </c>
      <c r="U63" s="9">
        <f t="shared" si="68"/>
        <v>49.735603275939901</v>
      </c>
      <c r="V63" s="9">
        <f t="shared" si="62"/>
        <v>176.10734600024205</v>
      </c>
      <c r="W63" s="9">
        <f t="shared" si="63"/>
        <v>764.74132500753171</v>
      </c>
      <c r="X63" s="9">
        <f t="shared" si="64"/>
        <v>1103.4119241192413</v>
      </c>
      <c r="Y63" s="9">
        <f t="shared" si="65"/>
        <v>2615.6602123672701</v>
      </c>
      <c r="Z63" s="9">
        <f t="shared" si="65"/>
        <v>7218.8672344427605</v>
      </c>
    </row>
    <row r="64" spans="2:26" outlineLevel="1" x14ac:dyDescent="0.3">
      <c r="B64" t="s">
        <v>89</v>
      </c>
      <c r="C64" t="s">
        <v>504</v>
      </c>
      <c r="D64" s="9">
        <v>289.72199999999998</v>
      </c>
      <c r="E64" s="9">
        <v>371.80799999999999</v>
      </c>
      <c r="F64" s="9">
        <v>0</v>
      </c>
      <c r="G64" s="9">
        <v>106.75</v>
      </c>
      <c r="H64" s="9">
        <v>639.60199999999998</v>
      </c>
      <c r="I64" s="9">
        <v>364.73</v>
      </c>
      <c r="J64" s="9">
        <v>497.96300000000002</v>
      </c>
      <c r="K64" s="9">
        <v>46.5</v>
      </c>
      <c r="L64" s="9">
        <v>8.9890000000000008</v>
      </c>
      <c r="M64" s="9">
        <v>1499.2539999999999</v>
      </c>
      <c r="N64" s="9">
        <v>29.280999999999999</v>
      </c>
      <c r="P64" s="9">
        <f t="shared" si="67"/>
        <v>975.79064362938254</v>
      </c>
      <c r="Q64" s="9">
        <f t="shared" si="67"/>
        <v>1180.7551843500905</v>
      </c>
      <c r="R64" s="9">
        <f t="shared" si="67"/>
        <v>0</v>
      </c>
      <c r="S64" s="9">
        <f t="shared" si="68"/>
        <v>340.92360756259581</v>
      </c>
      <c r="T64" s="9">
        <f t="shared" si="68"/>
        <v>2056.4658221336249</v>
      </c>
      <c r="U64" s="9">
        <f t="shared" si="68"/>
        <v>1176.0172825175728</v>
      </c>
      <c r="V64" s="9">
        <f t="shared" si="62"/>
        <v>1506.6047440396953</v>
      </c>
      <c r="W64" s="9">
        <f t="shared" si="63"/>
        <v>127.35190206227919</v>
      </c>
      <c r="X64" s="9">
        <f t="shared" si="64"/>
        <v>24.360433604336045</v>
      </c>
      <c r="Y64" s="9">
        <f t="shared" si="65"/>
        <v>3745.7938788257338</v>
      </c>
      <c r="Z64" s="9">
        <f t="shared" si="65"/>
        <v>76.495637180625948</v>
      </c>
    </row>
    <row r="65" spans="1:26" ht="15" outlineLevel="1" thickBot="1" x14ac:dyDescent="0.35"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" thickBot="1" x14ac:dyDescent="0.35">
      <c r="B66" s="152" t="s">
        <v>91</v>
      </c>
      <c r="C66" s="152" t="s">
        <v>92</v>
      </c>
      <c r="D66" s="14">
        <f t="shared" ref="D66:F66" si="69">+D56+D47+D34</f>
        <v>8536.601999999999</v>
      </c>
      <c r="E66" s="14">
        <f t="shared" si="69"/>
        <v>9788.3069999999989</v>
      </c>
      <c r="F66" s="14">
        <f t="shared" si="69"/>
        <v>13939.216</v>
      </c>
      <c r="G66" s="14">
        <f t="shared" ref="G66:M66" si="70">+G56+G47+G34</f>
        <v>16147.832999999999</v>
      </c>
      <c r="H66" s="14">
        <f t="shared" si="70"/>
        <v>16652.12</v>
      </c>
      <c r="I66" s="14">
        <f t="shared" si="70"/>
        <v>22859.096999999998</v>
      </c>
      <c r="J66" s="14">
        <f t="shared" si="70"/>
        <v>37574.506999999998</v>
      </c>
      <c r="K66" s="14">
        <f t="shared" si="70"/>
        <v>44884.29</v>
      </c>
      <c r="L66" s="14">
        <f t="shared" si="70"/>
        <v>60760.748</v>
      </c>
      <c r="M66" s="14">
        <f t="shared" si="70"/>
        <v>100029.76199999999</v>
      </c>
      <c r="N66" s="14">
        <f t="shared" ref="N66" si="71">+N56+N47+N34</f>
        <v>91977.778999999995</v>
      </c>
      <c r="P66" s="14">
        <f t="shared" ref="P66:R66" si="72">+P56+P47+P34</f>
        <v>28751.480246539351</v>
      </c>
      <c r="Q66" s="14">
        <f t="shared" si="72"/>
        <v>31084.845501603737</v>
      </c>
      <c r="R66" s="14">
        <f t="shared" si="72"/>
        <v>44517.169136433316</v>
      </c>
      <c r="S66" s="14">
        <f t="shared" ref="S66:X66" si="73">+S56+S47+S34</f>
        <v>51570.749233520706</v>
      </c>
      <c r="T66" s="14">
        <f t="shared" si="73"/>
        <v>53540.35110282297</v>
      </c>
      <c r="U66" s="14">
        <f t="shared" si="73"/>
        <v>73705.736119171983</v>
      </c>
      <c r="V66" s="14">
        <f t="shared" si="73"/>
        <v>113683.00556698538</v>
      </c>
      <c r="W66" s="14">
        <f t="shared" si="73"/>
        <v>122926.875359461</v>
      </c>
      <c r="X66" s="14">
        <f t="shared" si="73"/>
        <v>164663.27371273711</v>
      </c>
      <c r="Y66" s="14">
        <f t="shared" ref="Y66:Z66" si="74">+Y56+Y47+Y34</f>
        <v>249918.20612117427</v>
      </c>
      <c r="Z66" s="14">
        <f t="shared" si="74"/>
        <v>240288.88395422959</v>
      </c>
    </row>
    <row r="67" spans="1:26" x14ac:dyDescent="0.3">
      <c r="B67" s="8"/>
      <c r="C67" s="8" t="s">
        <v>507</v>
      </c>
      <c r="D67" s="17"/>
      <c r="E67" s="17"/>
      <c r="F67" s="18"/>
      <c r="G67" s="18"/>
      <c r="H67" s="18"/>
      <c r="I67" s="18"/>
      <c r="J67" s="18"/>
      <c r="S67" s="415">
        <f>+S3</f>
        <v>311.02</v>
      </c>
      <c r="T67" s="415">
        <f t="shared" ref="T67:Z67" si="75">+T3</f>
        <v>310.14</v>
      </c>
      <c r="U67" s="415">
        <f t="shared" si="75"/>
        <v>321.51</v>
      </c>
      <c r="V67" s="415">
        <f t="shared" si="75"/>
        <v>330.52</v>
      </c>
      <c r="W67" s="415">
        <f t="shared" si="75"/>
        <v>365.13</v>
      </c>
      <c r="X67" s="415">
        <f t="shared" si="75"/>
        <v>369</v>
      </c>
      <c r="Y67" s="415">
        <f t="shared" si="75"/>
        <v>400.25</v>
      </c>
      <c r="Z67" s="415">
        <f t="shared" si="75"/>
        <v>382.78</v>
      </c>
    </row>
    <row r="68" spans="1:26" x14ac:dyDescent="0.3">
      <c r="B68" s="8"/>
      <c r="C68" s="8"/>
      <c r="D68" s="18">
        <f>+D66-D32</f>
        <v>0</v>
      </c>
      <c r="E68" s="18">
        <f t="shared" ref="E68:I68" si="76">+E66-E32</f>
        <v>0</v>
      </c>
      <c r="F68" s="18">
        <f t="shared" si="76"/>
        <v>0</v>
      </c>
      <c r="G68" s="18">
        <f t="shared" si="76"/>
        <v>0</v>
      </c>
      <c r="H68" s="18">
        <f t="shared" si="76"/>
        <v>0</v>
      </c>
      <c r="I68" s="18">
        <f t="shared" si="76"/>
        <v>-1.0000000002037268E-3</v>
      </c>
      <c r="J68" s="18"/>
      <c r="K68" s="18"/>
      <c r="L68" s="18"/>
      <c r="M68" s="18"/>
      <c r="N68" s="18"/>
      <c r="O68" s="18">
        <f t="shared" ref="O68:T68" si="77">+P66-P32</f>
        <v>0</v>
      </c>
      <c r="P68" s="18">
        <f t="shared" si="77"/>
        <v>0</v>
      </c>
      <c r="Q68" s="18">
        <f t="shared" si="77"/>
        <v>0</v>
      </c>
      <c r="R68" s="18">
        <f t="shared" si="77"/>
        <v>0</v>
      </c>
      <c r="S68" s="18">
        <f t="shared" si="77"/>
        <v>0</v>
      </c>
      <c r="T68" s="18">
        <f t="shared" si="77"/>
        <v>-3.2243502937490121E-3</v>
      </c>
    </row>
    <row r="69" spans="1:26" x14ac:dyDescent="0.3">
      <c r="B69" s="8"/>
      <c r="C69" s="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1:26" x14ac:dyDescent="0.3">
      <c r="A70" s="1" t="s">
        <v>272</v>
      </c>
      <c r="B70" s="8" t="s">
        <v>167</v>
      </c>
      <c r="C70" s="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42">
        <v>296.92</v>
      </c>
      <c r="P70" s="42">
        <v>308.66000000000003</v>
      </c>
      <c r="Q70" s="42">
        <v>309.89999999999998</v>
      </c>
      <c r="R70" s="42"/>
      <c r="S70" s="42">
        <v>311.45999999999998</v>
      </c>
      <c r="T70" s="42">
        <v>318.87</v>
      </c>
      <c r="U70" s="42">
        <v>325.35000000000002</v>
      </c>
      <c r="V70" s="42">
        <v>351.17</v>
      </c>
      <c r="W70" s="42">
        <v>351.17</v>
      </c>
      <c r="X70" s="42">
        <v>358.52</v>
      </c>
      <c r="Y70" s="42">
        <v>391.33</v>
      </c>
      <c r="Z70" s="42">
        <v>381.95</v>
      </c>
    </row>
    <row r="71" spans="1:26" x14ac:dyDescent="0.3">
      <c r="B71" s="3" t="s">
        <v>165</v>
      </c>
      <c r="C71" s="3" t="s">
        <v>281</v>
      </c>
      <c r="G71" s="3">
        <v>2016</v>
      </c>
      <c r="H71" s="3">
        <v>2017</v>
      </c>
      <c r="I71" s="3">
        <v>2018</v>
      </c>
      <c r="J71" s="3">
        <v>2019</v>
      </c>
      <c r="K71" s="3">
        <v>2020</v>
      </c>
      <c r="L71" s="3">
        <v>2021</v>
      </c>
      <c r="M71" s="3">
        <v>2022</v>
      </c>
      <c r="N71" s="3">
        <v>2023</v>
      </c>
      <c r="R71" s="325"/>
      <c r="S71" s="3">
        <v>2016</v>
      </c>
      <c r="T71" s="3">
        <v>2017</v>
      </c>
      <c r="U71" s="3">
        <v>2018</v>
      </c>
      <c r="V71" s="3">
        <v>2019</v>
      </c>
      <c r="W71" s="3">
        <v>2020</v>
      </c>
      <c r="X71" s="3">
        <v>2021</v>
      </c>
      <c r="Y71" s="3">
        <v>2022</v>
      </c>
      <c r="Z71" s="3">
        <v>2023</v>
      </c>
    </row>
    <row r="72" spans="1:26" x14ac:dyDescent="0.3">
      <c r="B72" s="3"/>
      <c r="C72" s="3" t="s">
        <v>166</v>
      </c>
      <c r="G72" s="3" t="s">
        <v>3</v>
      </c>
      <c r="H72" s="3" t="s">
        <v>3</v>
      </c>
      <c r="I72" s="3" t="s">
        <v>3</v>
      </c>
      <c r="J72" s="3" t="s">
        <v>3</v>
      </c>
      <c r="K72" s="3" t="s">
        <v>3</v>
      </c>
      <c r="L72" s="3" t="s">
        <v>3</v>
      </c>
      <c r="M72" s="3" t="s">
        <v>3</v>
      </c>
      <c r="N72" s="3" t="s">
        <v>3</v>
      </c>
      <c r="R72" s="325"/>
      <c r="S72" s="3" t="s">
        <v>3</v>
      </c>
      <c r="T72" s="3" t="s">
        <v>3</v>
      </c>
      <c r="U72" s="3" t="s">
        <v>3</v>
      </c>
      <c r="V72" s="3" t="s">
        <v>3</v>
      </c>
      <c r="W72" s="3" t="s">
        <v>3</v>
      </c>
      <c r="X72" s="3" t="s">
        <v>3</v>
      </c>
      <c r="Y72" s="3" t="s">
        <v>3</v>
      </c>
      <c r="Z72" s="3" t="s">
        <v>3</v>
      </c>
    </row>
    <row r="73" spans="1:26" x14ac:dyDescent="0.3">
      <c r="B73" s="21" t="s">
        <v>97</v>
      </c>
      <c r="C73" s="21" t="s">
        <v>141</v>
      </c>
      <c r="G73" s="22">
        <v>13948.218707</v>
      </c>
      <c r="H73" s="22">
        <v>18389.28427</v>
      </c>
      <c r="I73" s="22">
        <v>18685.767</v>
      </c>
      <c r="J73" s="22">
        <v>25573.350251</v>
      </c>
      <c r="K73" s="22">
        <v>32981.300999999999</v>
      </c>
      <c r="L73" s="22">
        <v>44249.447999999997</v>
      </c>
      <c r="M73" s="22">
        <v>103027</v>
      </c>
      <c r="N73" s="22">
        <v>98954.327000000005</v>
      </c>
      <c r="O73" s="326"/>
      <c r="R73" s="326"/>
      <c r="S73" s="22">
        <f t="shared" ref="S73:Z73" si="78">+G73/S$70*1000</f>
        <v>44783.338813972907</v>
      </c>
      <c r="T73" s="22">
        <f t="shared" si="78"/>
        <v>57670.16110013485</v>
      </c>
      <c r="U73" s="22">
        <f t="shared" si="78"/>
        <v>57432.816966343933</v>
      </c>
      <c r="V73" s="22">
        <f t="shared" si="78"/>
        <v>72823.2771905345</v>
      </c>
      <c r="W73" s="22">
        <f t="shared" si="78"/>
        <v>93918.333001110572</v>
      </c>
      <c r="X73" s="22">
        <f t="shared" si="78"/>
        <v>123422.53709695414</v>
      </c>
      <c r="Y73" s="22">
        <f t="shared" si="78"/>
        <v>263273.96315130452</v>
      </c>
      <c r="Z73" s="22">
        <f t="shared" si="78"/>
        <v>259076.65139416157</v>
      </c>
    </row>
    <row r="74" spans="1:26" x14ac:dyDescent="0.3">
      <c r="B74" s="23" t="s">
        <v>169</v>
      </c>
      <c r="C74" s="23" t="s">
        <v>142</v>
      </c>
      <c r="G74" s="24">
        <v>-9249.8197920000002</v>
      </c>
      <c r="H74" s="24">
        <v>-14606.384983</v>
      </c>
      <c r="I74" s="24">
        <v>-14264.353999999999</v>
      </c>
      <c r="J74" s="24">
        <v>-18211.867753999999</v>
      </c>
      <c r="K74" s="24">
        <v>-23072.429</v>
      </c>
      <c r="L74" s="24">
        <v>-25624.444</v>
      </c>
      <c r="M74" s="24">
        <v>-70448.828999999998</v>
      </c>
      <c r="N74" s="24">
        <v>-63869.082000000002</v>
      </c>
      <c r="R74" s="327"/>
      <c r="S74" s="24">
        <f t="shared" ref="S74:S92" si="79">+G74/S$70*1000</f>
        <v>-29698.259140820654</v>
      </c>
      <c r="T74" s="24">
        <f t="shared" ref="T74:T88" si="80">+H74/T$70*1000</f>
        <v>-45806.708009533664</v>
      </c>
      <c r="U74" s="24">
        <f t="shared" ref="U74:U88" si="81">+I74/U$70*1000</f>
        <v>-43843.104349162437</v>
      </c>
      <c r="V74" s="24">
        <f t="shared" ref="V74:V88" si="82">+J74/V$70*1000</f>
        <v>-51860.545473702186</v>
      </c>
      <c r="W74" s="24">
        <f t="shared" ref="W74:W88" si="83">+K74/W$70*1000</f>
        <v>-65701.594669248501</v>
      </c>
      <c r="X74" s="24">
        <f t="shared" ref="X74:X88" si="84">+L74/X$70*1000</f>
        <v>-71472.843913868128</v>
      </c>
      <c r="Y74" s="24">
        <f t="shared" ref="Y74:Z88" si="85">+M74/Y$70*1000</f>
        <v>-180024.09475378838</v>
      </c>
      <c r="Z74" s="24">
        <f t="shared" si="85"/>
        <v>-167218.43696818958</v>
      </c>
    </row>
    <row r="75" spans="1:26" x14ac:dyDescent="0.3">
      <c r="B75" s="25" t="s">
        <v>143</v>
      </c>
      <c r="C75" s="25" t="s">
        <v>144</v>
      </c>
      <c r="G75" s="26">
        <v>-2315.8180090000001</v>
      </c>
      <c r="H75" s="26">
        <v>-2153.922556</v>
      </c>
      <c r="I75" s="26">
        <v>-2506.5340000000001</v>
      </c>
      <c r="J75" s="26">
        <v>-2858.1641120000004</v>
      </c>
      <c r="K75" s="26">
        <v>-3770.04</v>
      </c>
      <c r="L75" s="26">
        <v>-4192.2370000000001</v>
      </c>
      <c r="M75" s="26">
        <v>-5951.6490000000003</v>
      </c>
      <c r="N75" s="26">
        <v>-7876.31</v>
      </c>
      <c r="R75" s="328"/>
      <c r="S75" s="26">
        <f t="shared" si="79"/>
        <v>-7435.3625152507557</v>
      </c>
      <c r="T75" s="26">
        <f t="shared" si="80"/>
        <v>-6754.8610907266284</v>
      </c>
      <c r="U75" s="26">
        <f t="shared" si="81"/>
        <v>-7704.1155678500081</v>
      </c>
      <c r="V75" s="26">
        <f t="shared" si="82"/>
        <v>-8138.9757439416817</v>
      </c>
      <c r="W75" s="26">
        <f t="shared" si="83"/>
        <v>-10735.655095822534</v>
      </c>
      <c r="X75" s="26">
        <f t="shared" si="84"/>
        <v>-11693.174718286287</v>
      </c>
      <c r="Y75" s="26">
        <f t="shared" si="85"/>
        <v>-15208.772647126467</v>
      </c>
      <c r="Z75" s="26">
        <f t="shared" si="85"/>
        <v>-20621.311690011782</v>
      </c>
    </row>
    <row r="76" spans="1:26" x14ac:dyDescent="0.3">
      <c r="B76" s="25" t="s">
        <v>145</v>
      </c>
      <c r="C76" s="25" t="s">
        <v>146</v>
      </c>
      <c r="G76" s="26">
        <v>-601.331996</v>
      </c>
      <c r="H76" s="26">
        <v>-571.66508499999998</v>
      </c>
      <c r="I76" s="26">
        <v>-729.81799999999998</v>
      </c>
      <c r="J76" s="26">
        <v>-2045.7517579999999</v>
      </c>
      <c r="K76" s="26">
        <v>-2858.5230000000001</v>
      </c>
      <c r="L76" s="26">
        <v>-3936.6689999999999</v>
      </c>
      <c r="M76" s="26">
        <v>-3527.1619999999998</v>
      </c>
      <c r="N76" s="26">
        <v>-4268.473</v>
      </c>
      <c r="R76" s="328"/>
      <c r="S76" s="26">
        <f t="shared" si="79"/>
        <v>-1930.6877159185772</v>
      </c>
      <c r="T76" s="26">
        <f t="shared" si="80"/>
        <v>-1792.7841596889014</v>
      </c>
      <c r="U76" s="26">
        <f t="shared" si="81"/>
        <v>-2243.178115875211</v>
      </c>
      <c r="V76" s="26">
        <f t="shared" si="82"/>
        <v>-5825.5311045932167</v>
      </c>
      <c r="W76" s="26">
        <f t="shared" si="83"/>
        <v>-8139.9977219010734</v>
      </c>
      <c r="X76" s="26">
        <f t="shared" si="84"/>
        <v>-10980.333035813901</v>
      </c>
      <c r="Y76" s="26">
        <f t="shared" si="85"/>
        <v>-9013.2675746812147</v>
      </c>
      <c r="Z76" s="26">
        <f t="shared" si="85"/>
        <v>-11175.475847624035</v>
      </c>
    </row>
    <row r="77" spans="1:26" x14ac:dyDescent="0.3">
      <c r="B77" s="25" t="s">
        <v>107</v>
      </c>
      <c r="C77" s="25" t="s">
        <v>147</v>
      </c>
      <c r="G77" s="26">
        <v>-68.911270999999999</v>
      </c>
      <c r="H77" s="26">
        <v>305.97678999999999</v>
      </c>
      <c r="I77" s="26">
        <v>-146.83500000000001</v>
      </c>
      <c r="J77" s="26">
        <v>-804.28131999999994</v>
      </c>
      <c r="K77" s="26">
        <v>-1228.018</v>
      </c>
      <c r="L77" s="26">
        <v>-1795.605</v>
      </c>
      <c r="M77" s="26">
        <v>-6764.8620000000001</v>
      </c>
      <c r="N77" s="26">
        <v>-8315.9290000000001</v>
      </c>
      <c r="R77" s="328"/>
      <c r="S77" s="26">
        <f t="shared" si="79"/>
        <v>-221.25239517112951</v>
      </c>
      <c r="T77" s="26">
        <f t="shared" si="80"/>
        <v>959.56593596136349</v>
      </c>
      <c r="U77" s="26">
        <f t="shared" si="81"/>
        <v>-451.31396957123098</v>
      </c>
      <c r="V77" s="26">
        <f t="shared" si="82"/>
        <v>-2290.2905145655945</v>
      </c>
      <c r="W77" s="26">
        <f t="shared" si="83"/>
        <v>-3496.9331093202723</v>
      </c>
      <c r="X77" s="26">
        <f t="shared" si="84"/>
        <v>-5008.381680240991</v>
      </c>
      <c r="Y77" s="26">
        <f t="shared" si="85"/>
        <v>-17286.847417780391</v>
      </c>
      <c r="Z77" s="26">
        <f t="shared" si="85"/>
        <v>-21772.29742112842</v>
      </c>
    </row>
    <row r="78" spans="1:26" x14ac:dyDescent="0.3">
      <c r="B78" s="25" t="s">
        <v>148</v>
      </c>
      <c r="C78" s="25" t="s">
        <v>149</v>
      </c>
      <c r="G78" s="26">
        <v>-228.953</v>
      </c>
      <c r="H78" s="26">
        <v>-1.35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R78" s="328"/>
      <c r="S78" s="26">
        <f t="shared" si="79"/>
        <v>-735.09599948629045</v>
      </c>
      <c r="T78" s="26">
        <f t="shared" si="80"/>
        <v>-4.2337002540220148</v>
      </c>
      <c r="U78" s="26">
        <f t="shared" si="81"/>
        <v>0</v>
      </c>
      <c r="V78" s="26">
        <f t="shared" si="82"/>
        <v>0</v>
      </c>
      <c r="W78" s="26">
        <f t="shared" si="83"/>
        <v>0</v>
      </c>
      <c r="X78" s="26">
        <f t="shared" si="84"/>
        <v>0</v>
      </c>
      <c r="Y78" s="26">
        <f t="shared" si="85"/>
        <v>0</v>
      </c>
      <c r="Z78" s="26">
        <f t="shared" si="85"/>
        <v>0</v>
      </c>
    </row>
    <row r="79" spans="1:26" x14ac:dyDescent="0.3">
      <c r="B79" s="25" t="s">
        <v>435</v>
      </c>
      <c r="C79" s="25" t="s">
        <v>415</v>
      </c>
      <c r="G79" s="26"/>
      <c r="H79" s="26"/>
      <c r="I79" s="26"/>
      <c r="J79" s="26"/>
      <c r="K79" s="26">
        <v>512.226</v>
      </c>
      <c r="L79" s="26">
        <v>242.82599999999999</v>
      </c>
      <c r="M79" s="26">
        <v>358.91500000000002</v>
      </c>
      <c r="N79" s="26">
        <v>538.56600000000003</v>
      </c>
      <c r="R79" s="328"/>
      <c r="S79" s="26">
        <f t="shared" si="79"/>
        <v>0</v>
      </c>
      <c r="T79" s="26">
        <f t="shared" si="80"/>
        <v>0</v>
      </c>
      <c r="U79" s="26">
        <f t="shared" si="81"/>
        <v>0</v>
      </c>
      <c r="V79" s="26">
        <f t="shared" si="82"/>
        <v>0</v>
      </c>
      <c r="W79" s="26">
        <f t="shared" si="83"/>
        <v>1458.6268758720846</v>
      </c>
      <c r="X79" s="26">
        <f t="shared" si="84"/>
        <v>677.30112685484767</v>
      </c>
      <c r="Y79" s="26">
        <f t="shared" si="85"/>
        <v>917.16709682365274</v>
      </c>
      <c r="Z79" s="26">
        <f t="shared" si="85"/>
        <v>1410.0431993716456</v>
      </c>
    </row>
    <row r="80" spans="1:26" x14ac:dyDescent="0.3">
      <c r="B80" s="27" t="s">
        <v>150</v>
      </c>
      <c r="C80" s="27" t="s">
        <v>151</v>
      </c>
      <c r="G80" s="28">
        <f>SUM(G73:G78)</f>
        <v>1483.3846389999999</v>
      </c>
      <c r="H80" s="28">
        <f>SUM(H73:H78)</f>
        <v>1361.9384360000001</v>
      </c>
      <c r="I80" s="28">
        <f>SUM(I73:I78)</f>
        <v>1038.2260000000003</v>
      </c>
      <c r="J80" s="28">
        <f>SUM(J73:J78)</f>
        <v>1653.2853070000006</v>
      </c>
      <c r="K80" s="28">
        <f>SUM(K73:K79)</f>
        <v>2564.5169999999994</v>
      </c>
      <c r="L80" s="28">
        <f>SUM(L73:L79)</f>
        <v>8943.3189999999959</v>
      </c>
      <c r="M80" s="28">
        <f>SUM(M73:M79)</f>
        <v>16693.413</v>
      </c>
      <c r="N80" s="28">
        <f>SUM(N73:N79)</f>
        <v>15163.099</v>
      </c>
      <c r="R80" s="146"/>
      <c r="S80" s="28">
        <f t="shared" si="79"/>
        <v>4762.6810473254991</v>
      </c>
      <c r="T80" s="28">
        <f t="shared" si="80"/>
        <v>4271.1400758929976</v>
      </c>
      <c r="U80" s="28">
        <f t="shared" si="81"/>
        <v>3191.1049638850477</v>
      </c>
      <c r="V80" s="28">
        <f t="shared" si="82"/>
        <v>4707.9343537318127</v>
      </c>
      <c r="W80" s="28">
        <f t="shared" si="83"/>
        <v>7302.7792806902626</v>
      </c>
      <c r="X80" s="28">
        <f t="shared" si="84"/>
        <v>24945.104875599678</v>
      </c>
      <c r="Y80" s="28">
        <f t="shared" si="85"/>
        <v>42658.147854751747</v>
      </c>
      <c r="Z80" s="28">
        <f t="shared" si="85"/>
        <v>39699.17266657939</v>
      </c>
    </row>
    <row r="81" spans="2:26" x14ac:dyDescent="0.3">
      <c r="B81" s="25" t="s">
        <v>152</v>
      </c>
      <c r="C81" s="25" t="s">
        <v>153</v>
      </c>
      <c r="G81" s="26">
        <v>-455.72423900000001</v>
      </c>
      <c r="H81" s="26">
        <v>-329.10903100000002</v>
      </c>
      <c r="I81" s="26">
        <v>-232.333</v>
      </c>
      <c r="J81" s="26">
        <v>-943.82029</v>
      </c>
      <c r="K81" s="26">
        <v>-1090.316</v>
      </c>
      <c r="L81" s="26">
        <v>-1871.0509999999999</v>
      </c>
      <c r="M81" s="26">
        <v>-936.73099999999999</v>
      </c>
      <c r="N81" s="26">
        <v>719.53</v>
      </c>
      <c r="R81" s="328"/>
      <c r="S81" s="26">
        <f t="shared" si="79"/>
        <v>-1463.187051306749</v>
      </c>
      <c r="T81" s="26">
        <f t="shared" si="80"/>
        <v>-1032.1103615893626</v>
      </c>
      <c r="U81" s="26">
        <f t="shared" si="81"/>
        <v>-714.10173659136308</v>
      </c>
      <c r="V81" s="26">
        <f t="shared" si="82"/>
        <v>-2687.6449867585497</v>
      </c>
      <c r="W81" s="26">
        <f t="shared" si="83"/>
        <v>-3104.8096363584586</v>
      </c>
      <c r="X81" s="26">
        <f t="shared" si="84"/>
        <v>-5218.8190338056456</v>
      </c>
      <c r="Y81" s="26">
        <f t="shared" si="85"/>
        <v>-2393.7111900442087</v>
      </c>
      <c r="Z81" s="26">
        <f t="shared" si="85"/>
        <v>1883.8329624296373</v>
      </c>
    </row>
    <row r="82" spans="2:26" x14ac:dyDescent="0.3">
      <c r="B82" s="29" t="s">
        <v>119</v>
      </c>
      <c r="C82" s="29" t="s">
        <v>154</v>
      </c>
      <c r="G82" s="28">
        <f t="shared" ref="G82:M82" si="86">+G80+G81</f>
        <v>1027.6603999999998</v>
      </c>
      <c r="H82" s="28">
        <f t="shared" si="86"/>
        <v>1032.8294050000002</v>
      </c>
      <c r="I82" s="28">
        <f t="shared" si="86"/>
        <v>805.89300000000037</v>
      </c>
      <c r="J82" s="28">
        <f t="shared" si="86"/>
        <v>709.46501700000056</v>
      </c>
      <c r="K82" s="28">
        <f t="shared" si="86"/>
        <v>1474.2009999999993</v>
      </c>
      <c r="L82" s="28">
        <f t="shared" si="86"/>
        <v>7072.2679999999964</v>
      </c>
      <c r="M82" s="28">
        <f t="shared" si="86"/>
        <v>15756.682000000001</v>
      </c>
      <c r="N82" s="28">
        <f t="shared" ref="N82" si="87">+N80+N81</f>
        <v>15882.629000000001</v>
      </c>
      <c r="R82" s="146"/>
      <c r="S82" s="28">
        <f t="shared" si="79"/>
        <v>3299.4939960187498</v>
      </c>
      <c r="T82" s="28">
        <f t="shared" si="80"/>
        <v>3239.0297143036355</v>
      </c>
      <c r="U82" s="28">
        <f t="shared" si="81"/>
        <v>2477.0032272936846</v>
      </c>
      <c r="V82" s="28">
        <f t="shared" si="82"/>
        <v>2020.2893669732625</v>
      </c>
      <c r="W82" s="28">
        <f t="shared" si="83"/>
        <v>4197.9696443318026</v>
      </c>
      <c r="X82" s="28">
        <f t="shared" si="84"/>
        <v>19726.285841794033</v>
      </c>
      <c r="Y82" s="28">
        <f t="shared" si="85"/>
        <v>40264.436664707537</v>
      </c>
      <c r="Z82" s="28">
        <f t="shared" si="85"/>
        <v>41583.005629009036</v>
      </c>
    </row>
    <row r="83" spans="2:26" x14ac:dyDescent="0.3">
      <c r="B83" s="25" t="s">
        <v>121</v>
      </c>
      <c r="C83" s="25" t="s">
        <v>155</v>
      </c>
      <c r="G83" s="26">
        <v>-204.73514900000001</v>
      </c>
      <c r="H83" s="26">
        <v>-117.87471600000001</v>
      </c>
      <c r="I83" s="26">
        <v>-275.81400000000002</v>
      </c>
      <c r="J83" s="26">
        <v>-435.83447100000001</v>
      </c>
      <c r="K83" s="26">
        <v>-883.66</v>
      </c>
      <c r="L83" s="26">
        <v>-1214.818</v>
      </c>
      <c r="M83" s="26">
        <v>-2913.444</v>
      </c>
      <c r="N83" s="26">
        <v>-3120.5149999999999</v>
      </c>
      <c r="R83" s="328"/>
      <c r="S83" s="26">
        <f t="shared" si="79"/>
        <v>-657.34010466833627</v>
      </c>
      <c r="T83" s="26">
        <f t="shared" si="80"/>
        <v>-369.66386301627625</v>
      </c>
      <c r="U83" s="26">
        <f t="shared" si="81"/>
        <v>-847.74550484094061</v>
      </c>
      <c r="V83" s="26">
        <f t="shared" si="82"/>
        <v>-1241.0925506165104</v>
      </c>
      <c r="W83" s="26">
        <f t="shared" si="83"/>
        <v>-2516.3311216789584</v>
      </c>
      <c r="X83" s="26">
        <f t="shared" si="84"/>
        <v>-3388.4246346089481</v>
      </c>
      <c r="Y83" s="26">
        <f t="shared" si="85"/>
        <v>-7444.9799402039198</v>
      </c>
      <c r="Z83" s="26">
        <f t="shared" si="85"/>
        <v>-8169.9568006283534</v>
      </c>
    </row>
    <row r="84" spans="2:26" x14ac:dyDescent="0.3">
      <c r="B84" s="82" t="s">
        <v>279</v>
      </c>
      <c r="C84" s="38" t="s">
        <v>280</v>
      </c>
      <c r="G84" s="26"/>
      <c r="H84" s="26">
        <v>-136</v>
      </c>
      <c r="I84" s="26">
        <v>-212</v>
      </c>
      <c r="J84" s="26">
        <f>-301.451-46.233</f>
        <v>-347.68400000000003</v>
      </c>
      <c r="K84" s="26">
        <v>-417.96600000000001</v>
      </c>
      <c r="L84" s="26">
        <v>-417.96600000000001</v>
      </c>
      <c r="M84" s="26">
        <f>(-1052567-156413)/1000</f>
        <v>-1208.98</v>
      </c>
      <c r="N84" s="26"/>
      <c r="R84" s="328"/>
      <c r="S84" s="26">
        <f t="shared" si="79"/>
        <v>0</v>
      </c>
      <c r="T84" s="26">
        <f t="shared" si="80"/>
        <v>-426.50609966444006</v>
      </c>
      <c r="U84" s="26">
        <f t="shared" si="81"/>
        <v>-651.60596280928235</v>
      </c>
      <c r="V84" s="26">
        <f t="shared" si="82"/>
        <v>-990.0731839280121</v>
      </c>
      <c r="W84" s="26">
        <f t="shared" si="83"/>
        <v>-1190.2098698635987</v>
      </c>
      <c r="X84" s="26">
        <f t="shared" si="84"/>
        <v>-1165.8094388039719</v>
      </c>
      <c r="Y84" s="26">
        <f t="shared" si="85"/>
        <v>-3089.4130273682058</v>
      </c>
      <c r="Z84" s="26">
        <f t="shared" si="85"/>
        <v>0</v>
      </c>
    </row>
    <row r="85" spans="2:26" x14ac:dyDescent="0.3">
      <c r="B85" s="29" t="s">
        <v>123</v>
      </c>
      <c r="C85" s="29" t="s">
        <v>156</v>
      </c>
      <c r="G85" s="28">
        <f t="shared" ref="G85:M85" si="88">+G82+G83</f>
        <v>822.92525099999978</v>
      </c>
      <c r="H85" s="28">
        <f t="shared" si="88"/>
        <v>914.95468900000014</v>
      </c>
      <c r="I85" s="28">
        <f t="shared" si="88"/>
        <v>530.07900000000041</v>
      </c>
      <c r="J85" s="28">
        <f t="shared" si="88"/>
        <v>273.63054600000055</v>
      </c>
      <c r="K85" s="28">
        <f t="shared" si="88"/>
        <v>590.54099999999937</v>
      </c>
      <c r="L85" s="28">
        <f t="shared" si="88"/>
        <v>5857.4499999999962</v>
      </c>
      <c r="M85" s="28">
        <f t="shared" si="88"/>
        <v>12843.238000000001</v>
      </c>
      <c r="N85" s="28">
        <f t="shared" ref="N85" si="89">+N82+N83</f>
        <v>12762.114000000001</v>
      </c>
      <c r="R85" s="146"/>
      <c r="S85" s="28">
        <f t="shared" si="79"/>
        <v>2642.1538913504132</v>
      </c>
      <c r="T85" s="28">
        <f t="shared" si="80"/>
        <v>2869.365851287359</v>
      </c>
      <c r="U85" s="28">
        <f t="shared" si="81"/>
        <v>1629.2577224527442</v>
      </c>
      <c r="V85" s="28">
        <f t="shared" si="82"/>
        <v>779.19681635675181</v>
      </c>
      <c r="W85" s="28">
        <f t="shared" si="83"/>
        <v>1681.6385226528444</v>
      </c>
      <c r="X85" s="28">
        <f t="shared" si="84"/>
        <v>16337.861207185086</v>
      </c>
      <c r="Y85" s="28">
        <f t="shared" si="85"/>
        <v>32819.456724503616</v>
      </c>
      <c r="Z85" s="28">
        <f t="shared" si="85"/>
        <v>33413.048828380684</v>
      </c>
    </row>
    <row r="86" spans="2:26" x14ac:dyDescent="0.3">
      <c r="B86" s="31" t="s">
        <v>125</v>
      </c>
      <c r="C86" s="25" t="s">
        <v>157</v>
      </c>
      <c r="G86" s="26">
        <v>728.10356541538465</v>
      </c>
      <c r="H86" s="26">
        <v>912.52596700000004</v>
      </c>
      <c r="I86" s="26">
        <v>511.21800000000002</v>
      </c>
      <c r="J86" s="26">
        <v>270.71654599999812</v>
      </c>
      <c r="K86" s="26">
        <v>586.66300000000001</v>
      </c>
      <c r="L86" s="26">
        <v>5855.1840000000002</v>
      </c>
      <c r="M86" s="26">
        <v>12887.893</v>
      </c>
      <c r="N86" s="26">
        <v>12803.477999999999</v>
      </c>
      <c r="R86" s="328"/>
      <c r="S86" s="26">
        <f t="shared" si="79"/>
        <v>2337.711312577489</v>
      </c>
      <c r="T86" s="26">
        <f t="shared" si="80"/>
        <v>2861.7491987330263</v>
      </c>
      <c r="U86" s="26">
        <f t="shared" si="81"/>
        <v>1571.2863070539418</v>
      </c>
      <c r="V86" s="26">
        <f t="shared" si="82"/>
        <v>770.89884101716575</v>
      </c>
      <c r="W86" s="26">
        <f t="shared" si="83"/>
        <v>1670.5954381068998</v>
      </c>
      <c r="X86" s="26">
        <f t="shared" si="84"/>
        <v>16331.540778757113</v>
      </c>
      <c r="Y86" s="26">
        <f t="shared" si="85"/>
        <v>32933.567577236601</v>
      </c>
      <c r="Z86" s="26">
        <f t="shared" si="85"/>
        <v>33521.345725880354</v>
      </c>
    </row>
    <row r="87" spans="2:26" x14ac:dyDescent="0.3">
      <c r="B87" s="32" t="s">
        <v>158</v>
      </c>
      <c r="C87" s="32" t="s">
        <v>159</v>
      </c>
      <c r="G87" s="33">
        <v>94.821685584615366</v>
      </c>
      <c r="H87" s="33">
        <v>2.428722</v>
      </c>
      <c r="I87" s="33">
        <v>18.861000000000001</v>
      </c>
      <c r="J87" s="33">
        <v>2.9140000000000001</v>
      </c>
      <c r="K87" s="33">
        <v>3.8780000000000001</v>
      </c>
      <c r="L87" s="33">
        <v>2.266</v>
      </c>
      <c r="M87" s="33">
        <v>-44.601999999999997</v>
      </c>
      <c r="N87" s="33">
        <v>-41.363999999999997</v>
      </c>
      <c r="R87" s="328"/>
      <c r="S87" s="33">
        <f t="shared" si="79"/>
        <v>304.44257877292546</v>
      </c>
      <c r="T87" s="33">
        <f t="shared" si="80"/>
        <v>7.6166525543324868</v>
      </c>
      <c r="U87" s="33">
        <f t="shared" si="81"/>
        <v>57.971415398801291</v>
      </c>
      <c r="V87" s="33">
        <f t="shared" si="82"/>
        <v>8.2979753395791214</v>
      </c>
      <c r="W87" s="33">
        <f t="shared" si="83"/>
        <v>11.043084545946408</v>
      </c>
      <c r="X87" s="33">
        <f t="shared" si="84"/>
        <v>6.3204284279817022</v>
      </c>
      <c r="Y87" s="33">
        <f t="shared" si="85"/>
        <v>-113.97541716709682</v>
      </c>
      <c r="Z87" s="33">
        <f t="shared" si="85"/>
        <v>-108.29689749967272</v>
      </c>
    </row>
    <row r="88" spans="2:26" ht="15" thickBot="1" x14ac:dyDescent="0.35">
      <c r="B88" s="25" t="s">
        <v>160</v>
      </c>
      <c r="C88" s="25" t="s">
        <v>161</v>
      </c>
      <c r="G88" s="26">
        <v>547.51092714919992</v>
      </c>
      <c r="H88" s="26">
        <v>-479.54411900000002</v>
      </c>
      <c r="I88" s="26">
        <v>-259.63200000000001</v>
      </c>
      <c r="J88" s="26">
        <v>-1415.65</v>
      </c>
      <c r="K88" s="26">
        <v>2114.2919999999999</v>
      </c>
      <c r="L88" s="26">
        <v>4906.63</v>
      </c>
      <c r="M88" s="26">
        <v>-3237.1860000000001</v>
      </c>
      <c r="N88" s="26">
        <v>-4458.2690000000002</v>
      </c>
      <c r="R88" s="328"/>
      <c r="S88" s="26">
        <f t="shared" si="79"/>
        <v>1757.8852088525009</v>
      </c>
      <c r="T88" s="26">
        <f t="shared" si="80"/>
        <v>-1503.8859692037506</v>
      </c>
      <c r="U88" s="26">
        <f t="shared" si="81"/>
        <v>-798.00829875518662</v>
      </c>
      <c r="V88" s="26">
        <f t="shared" si="82"/>
        <v>-4031.2384315288891</v>
      </c>
      <c r="W88" s="26">
        <f t="shared" si="83"/>
        <v>6020.7079192413921</v>
      </c>
      <c r="X88" s="26">
        <f t="shared" si="84"/>
        <v>13685.791587638068</v>
      </c>
      <c r="Y88" s="26">
        <f t="shared" si="85"/>
        <v>-8272.2663736488394</v>
      </c>
      <c r="Z88" s="26">
        <f t="shared" si="85"/>
        <v>-11672.389056159185</v>
      </c>
    </row>
    <row r="89" spans="2:26" ht="15.6" thickTop="1" thickBot="1" x14ac:dyDescent="0.35">
      <c r="B89" s="34" t="s">
        <v>132</v>
      </c>
      <c r="C89" s="34" t="s">
        <v>162</v>
      </c>
      <c r="G89" s="35">
        <f>+G85+G88</f>
        <v>1370.4361781491998</v>
      </c>
      <c r="H89" s="35">
        <f>+H85+H88</f>
        <v>435.41057000000012</v>
      </c>
      <c r="I89" s="35">
        <f t="shared" ref="I89:N89" si="90">+I88+I85</f>
        <v>270.4470000000004</v>
      </c>
      <c r="J89" s="35">
        <f t="shared" si="90"/>
        <v>-1142.0194539999995</v>
      </c>
      <c r="K89" s="35">
        <f t="shared" si="90"/>
        <v>2704.8329999999992</v>
      </c>
      <c r="L89" s="35">
        <f t="shared" si="90"/>
        <v>10764.079999999996</v>
      </c>
      <c r="M89" s="345">
        <f t="shared" si="90"/>
        <v>9606.0520000000015</v>
      </c>
      <c r="N89" s="345">
        <f t="shared" si="90"/>
        <v>8303.8450000000012</v>
      </c>
      <c r="R89" s="146"/>
      <c r="S89" s="35">
        <f t="shared" si="79"/>
        <v>4400.0391002029146</v>
      </c>
      <c r="T89" s="35">
        <f t="shared" ref="T89:T92" si="91">+H89/T$70*1000</f>
        <v>1365.4798820836081</v>
      </c>
      <c r="U89" s="35">
        <f t="shared" ref="U89:U92" si="92">+I89/U$70*1000</f>
        <v>831.24942369755763</v>
      </c>
      <c r="V89" s="35">
        <f t="shared" ref="V89:V92" si="93">+J89/V$70*1000</f>
        <v>-3252.0416151721374</v>
      </c>
      <c r="W89" s="35">
        <f t="shared" ref="W89:W92" si="94">+K89/W$70*1000</f>
        <v>7702.3464418942358</v>
      </c>
      <c r="X89" s="35">
        <f t="shared" ref="X89:Z92" si="95">+L89/X$70*1000</f>
        <v>30023.652794823152</v>
      </c>
      <c r="Y89" s="35">
        <f t="shared" si="95"/>
        <v>24547.19035085478</v>
      </c>
      <c r="Z89" s="35">
        <f t="shared" si="95"/>
        <v>21740.659772221497</v>
      </c>
    </row>
    <row r="90" spans="2:26" ht="15" thickTop="1" x14ac:dyDescent="0.3">
      <c r="B90" s="25" t="s">
        <v>125</v>
      </c>
      <c r="C90" s="25" t="s">
        <v>157</v>
      </c>
      <c r="G90" s="26">
        <v>1275.6144925645845</v>
      </c>
      <c r="H90" s="26">
        <v>432.98184800000001</v>
      </c>
      <c r="I90" s="26">
        <v>251.58600000000001</v>
      </c>
      <c r="J90" s="26"/>
      <c r="K90" s="26"/>
      <c r="L90" s="26"/>
      <c r="M90" s="26">
        <v>9651</v>
      </c>
      <c r="N90" s="26">
        <v>8345</v>
      </c>
      <c r="R90" s="328"/>
      <c r="S90" s="26">
        <f t="shared" si="79"/>
        <v>4095.5965214299895</v>
      </c>
      <c r="T90" s="26">
        <f t="shared" si="91"/>
        <v>1357.8632295292753</v>
      </c>
      <c r="U90" s="26">
        <f t="shared" si="92"/>
        <v>773.27800829875514</v>
      </c>
      <c r="V90" s="26">
        <f t="shared" si="93"/>
        <v>0</v>
      </c>
      <c r="W90" s="26">
        <f t="shared" si="94"/>
        <v>0</v>
      </c>
      <c r="X90" s="26">
        <f t="shared" si="95"/>
        <v>0</v>
      </c>
      <c r="Y90" s="26">
        <f t="shared" si="95"/>
        <v>24662.049932282218</v>
      </c>
      <c r="Z90" s="26">
        <f t="shared" si="95"/>
        <v>21848.409477680325</v>
      </c>
    </row>
    <row r="91" spans="2:26" ht="15" thickBot="1" x14ac:dyDescent="0.35">
      <c r="B91" s="25" t="s">
        <v>158</v>
      </c>
      <c r="C91" s="32" t="s">
        <v>159</v>
      </c>
      <c r="G91" s="26">
        <v>94.821685584615366</v>
      </c>
      <c r="H91" s="26">
        <v>2.428722</v>
      </c>
      <c r="I91" s="26">
        <v>18.861000000000001</v>
      </c>
      <c r="J91" s="26"/>
      <c r="K91" s="26"/>
      <c r="L91" s="26"/>
      <c r="M91" s="26">
        <v>-45</v>
      </c>
      <c r="N91" s="26">
        <v>-41</v>
      </c>
      <c r="R91" s="328"/>
      <c r="S91" s="26">
        <f t="shared" si="79"/>
        <v>304.44257877292546</v>
      </c>
      <c r="T91" s="26">
        <f t="shared" si="91"/>
        <v>7.6166525543324868</v>
      </c>
      <c r="U91" s="26">
        <f t="shared" si="92"/>
        <v>57.971415398801291</v>
      </c>
      <c r="V91" s="26">
        <f t="shared" si="93"/>
        <v>0</v>
      </c>
      <c r="W91" s="26">
        <f t="shared" si="94"/>
        <v>0</v>
      </c>
      <c r="X91" s="26">
        <f t="shared" si="95"/>
        <v>0</v>
      </c>
      <c r="Y91" s="26">
        <f t="shared" si="95"/>
        <v>-114.99246160529476</v>
      </c>
      <c r="Z91" s="26">
        <f t="shared" si="95"/>
        <v>-107.34389317973557</v>
      </c>
    </row>
    <row r="92" spans="2:26" ht="15.6" thickTop="1" thickBot="1" x14ac:dyDescent="0.35">
      <c r="B92" s="34" t="s">
        <v>139</v>
      </c>
      <c r="C92" s="34" t="s">
        <v>139</v>
      </c>
      <c r="G92" s="35">
        <f>+G80-G78-G76</f>
        <v>2313.6696349999997</v>
      </c>
      <c r="H92" s="35">
        <f>+H80-H78-H76</f>
        <v>1934.9535209999999</v>
      </c>
      <c r="I92" s="35">
        <v>1800.567</v>
      </c>
      <c r="J92" s="35">
        <v>3779.18</v>
      </c>
      <c r="K92" s="35">
        <v>5512</v>
      </c>
      <c r="L92" s="35">
        <v>12879.987999999999</v>
      </c>
      <c r="M92" s="35">
        <v>20220.628000000001</v>
      </c>
      <c r="N92" s="35">
        <v>19432</v>
      </c>
      <c r="R92" s="146"/>
      <c r="S92" s="35">
        <f t="shared" si="79"/>
        <v>7428.4647627303657</v>
      </c>
      <c r="T92" s="35">
        <f t="shared" si="91"/>
        <v>6068.1579358359204</v>
      </c>
      <c r="U92" s="35">
        <f t="shared" si="92"/>
        <v>5534.2461964038721</v>
      </c>
      <c r="V92" s="35">
        <f t="shared" si="93"/>
        <v>10761.682376057179</v>
      </c>
      <c r="W92" s="35">
        <f t="shared" si="94"/>
        <v>15696.101603212119</v>
      </c>
      <c r="X92" s="35">
        <f t="shared" si="95"/>
        <v>35925.437911413588</v>
      </c>
      <c r="Y92" s="35">
        <f t="shared" si="95"/>
        <v>51671.550864998855</v>
      </c>
      <c r="Z92" s="35">
        <f t="shared" si="95"/>
        <v>50875.769079722479</v>
      </c>
    </row>
    <row r="93" spans="2:26" ht="15" thickTop="1" x14ac:dyDescent="0.3">
      <c r="B93" s="36"/>
      <c r="C93" s="36"/>
      <c r="D93" s="36"/>
      <c r="E93" s="36"/>
      <c r="F93" s="36"/>
      <c r="R93" s="36"/>
      <c r="S93" s="36"/>
    </row>
    <row r="94" spans="2:26" x14ac:dyDescent="0.3">
      <c r="B94" s="8"/>
      <c r="C94" s="8"/>
      <c r="D94" s="18"/>
      <c r="E94" s="18"/>
      <c r="F94" s="18"/>
      <c r="G94" s="18"/>
      <c r="H94" s="18"/>
    </row>
    <row r="95" spans="2:26" ht="15.6" hidden="1" x14ac:dyDescent="0.3">
      <c r="B95" s="44" t="s">
        <v>273</v>
      </c>
      <c r="C95" s="8"/>
      <c r="D95" s="18"/>
      <c r="E95" s="18"/>
      <c r="F95" s="18"/>
      <c r="G95" s="18"/>
      <c r="H95" s="18"/>
    </row>
    <row r="96" spans="2:26" hidden="1" x14ac:dyDescent="0.3">
      <c r="B96" s="8"/>
      <c r="C96" s="8"/>
      <c r="D96" s="18"/>
      <c r="E96" s="18"/>
      <c r="F96" s="18"/>
      <c r="G96" s="18"/>
      <c r="H96" s="18"/>
    </row>
    <row r="97" spans="2:18" hidden="1" x14ac:dyDescent="0.3">
      <c r="B97" s="2"/>
      <c r="C97" s="2" t="s">
        <v>96</v>
      </c>
      <c r="D97" s="3">
        <v>2013</v>
      </c>
      <c r="E97" s="3">
        <v>2014</v>
      </c>
      <c r="F97" s="3">
        <v>2015</v>
      </c>
      <c r="G97" s="3">
        <v>2016</v>
      </c>
      <c r="H97" s="18"/>
      <c r="O97" s="3">
        <v>2013</v>
      </c>
      <c r="P97" s="3">
        <v>2014</v>
      </c>
      <c r="Q97" s="3">
        <v>2015</v>
      </c>
      <c r="R97" s="3">
        <v>2016</v>
      </c>
    </row>
    <row r="98" spans="2:18" hidden="1" x14ac:dyDescent="0.3">
      <c r="B98" s="2"/>
      <c r="C98" s="4" t="s">
        <v>2</v>
      </c>
      <c r="D98" s="3" t="s">
        <v>3</v>
      </c>
      <c r="E98" s="3" t="s">
        <v>3</v>
      </c>
      <c r="F98" s="3" t="s">
        <v>3</v>
      </c>
      <c r="G98" s="3" t="s">
        <v>3</v>
      </c>
      <c r="H98" s="18"/>
      <c r="O98" s="3" t="s">
        <v>3</v>
      </c>
      <c r="P98" s="3" t="s">
        <v>3</v>
      </c>
      <c r="Q98" s="3" t="s">
        <v>3</v>
      </c>
      <c r="R98" s="3" t="s">
        <v>3</v>
      </c>
    </row>
    <row r="99" spans="2:18" hidden="1" x14ac:dyDescent="0.3">
      <c r="B99" s="8" t="s">
        <v>97</v>
      </c>
      <c r="C99" s="8" t="s">
        <v>98</v>
      </c>
      <c r="D99" s="9">
        <v>6172.3940000000002</v>
      </c>
      <c r="E99" s="9">
        <v>5860.0439999999999</v>
      </c>
      <c r="F99" s="9">
        <v>10699.412</v>
      </c>
      <c r="G99" s="9">
        <v>13948.218999999999</v>
      </c>
      <c r="H99" s="18"/>
      <c r="J99" s="30"/>
      <c r="K99" s="81"/>
      <c r="L99" s="81"/>
      <c r="M99" s="81"/>
      <c r="N99" s="81"/>
      <c r="O99" s="9">
        <f>+D99/O$70*1000</f>
        <v>20788.070860837935</v>
      </c>
      <c r="P99" s="9">
        <f>+E99/P$70*1000</f>
        <v>18985.433810665454</v>
      </c>
      <c r="Q99" s="9">
        <f>+F99/Q$70*1000</f>
        <v>34525.369474023886</v>
      </c>
      <c r="R99" s="9">
        <f t="shared" ref="R99:R120" si="96">+G99/S$70*1000</f>
        <v>44783.339754703651</v>
      </c>
    </row>
    <row r="100" spans="2:18" hidden="1" x14ac:dyDescent="0.3">
      <c r="B100" s="8" t="s">
        <v>99</v>
      </c>
      <c r="C100" s="8" t="s">
        <v>100</v>
      </c>
      <c r="D100" s="9">
        <v>-5187.491</v>
      </c>
      <c r="E100" s="9">
        <v>-4889.9620000000004</v>
      </c>
      <c r="F100" s="9">
        <v>-8378.84</v>
      </c>
      <c r="G100" s="9">
        <v>-10881.753000000001</v>
      </c>
      <c r="H100" s="18"/>
      <c r="O100" s="9">
        <f t="shared" ref="O100:O120" si="97">+D100/O$70*1000</f>
        <v>-17471.005658089718</v>
      </c>
      <c r="P100" s="9">
        <f t="shared" ref="P100:P120" si="98">+E100/P$70*1000</f>
        <v>-15842.55167498218</v>
      </c>
      <c r="Q100" s="9">
        <f t="shared" ref="Q100:Q120" si="99">+F100/Q$70*1000</f>
        <v>-27037.237818651181</v>
      </c>
      <c r="R100" s="9">
        <f t="shared" si="96"/>
        <v>-34937.882874205359</v>
      </c>
    </row>
    <row r="101" spans="2:18" hidden="1" x14ac:dyDescent="0.3">
      <c r="B101" s="6" t="s">
        <v>101</v>
      </c>
      <c r="C101" s="6" t="s">
        <v>102</v>
      </c>
      <c r="D101" s="13">
        <f>D99+D100</f>
        <v>984.90300000000025</v>
      </c>
      <c r="E101" s="13">
        <f>E99+E100</f>
        <v>970.08199999999943</v>
      </c>
      <c r="F101" s="13">
        <f>F99+F100</f>
        <v>2320.5720000000001</v>
      </c>
      <c r="G101" s="13">
        <f>G99+G100</f>
        <v>3066.4659999999985</v>
      </c>
      <c r="O101" s="13">
        <f t="shared" si="97"/>
        <v>3317.0652027482156</v>
      </c>
      <c r="P101" s="13">
        <f t="shared" si="98"/>
        <v>3142.8821356832741</v>
      </c>
      <c r="Q101" s="13">
        <f t="shared" si="99"/>
        <v>7488.131655372702</v>
      </c>
      <c r="R101" s="13">
        <f t="shared" si="96"/>
        <v>9845.4568804982955</v>
      </c>
    </row>
    <row r="102" spans="2:18" hidden="1" x14ac:dyDescent="0.3">
      <c r="B102" s="8" t="s">
        <v>103</v>
      </c>
      <c r="C102" s="8" t="s">
        <v>104</v>
      </c>
      <c r="D102" s="9">
        <v>-473.03800000000001</v>
      </c>
      <c r="E102" s="9">
        <v>-544.62900000000002</v>
      </c>
      <c r="F102" s="9">
        <v>-1384.998</v>
      </c>
      <c r="G102" s="9">
        <v>-1267.9100000000001</v>
      </c>
      <c r="O102" s="9">
        <f t="shared" si="97"/>
        <v>-1593.1496699447662</v>
      </c>
      <c r="P102" s="9">
        <f t="shared" si="98"/>
        <v>-1764.4949134970518</v>
      </c>
      <c r="Q102" s="9">
        <f t="shared" si="99"/>
        <v>-4469.1771539206202</v>
      </c>
      <c r="R102" s="9">
        <f t="shared" si="96"/>
        <v>-4070.8598214859057</v>
      </c>
    </row>
    <row r="103" spans="2:18" hidden="1" x14ac:dyDescent="0.3">
      <c r="B103" s="8" t="s">
        <v>105</v>
      </c>
      <c r="C103" s="8" t="s">
        <v>106</v>
      </c>
      <c r="D103" s="9">
        <v>-13.48</v>
      </c>
      <c r="E103" s="9">
        <v>-12.75</v>
      </c>
      <c r="F103" s="9">
        <v>-26.515000000000001</v>
      </c>
      <c r="G103" s="9">
        <v>-17.306000000000001</v>
      </c>
      <c r="O103" s="9">
        <f t="shared" si="97"/>
        <v>-45.399434191027886</v>
      </c>
      <c r="P103" s="9">
        <f t="shared" si="98"/>
        <v>-41.307587636882005</v>
      </c>
      <c r="Q103" s="9">
        <f t="shared" si="99"/>
        <v>-85.55985801871573</v>
      </c>
      <c r="R103" s="9">
        <f t="shared" si="96"/>
        <v>-55.564117382649464</v>
      </c>
    </row>
    <row r="104" spans="2:18" hidden="1" x14ac:dyDescent="0.3">
      <c r="B104" s="8" t="s">
        <v>107</v>
      </c>
      <c r="C104" s="8" t="s">
        <v>108</v>
      </c>
      <c r="D104" s="9">
        <v>-102.943</v>
      </c>
      <c r="E104" s="9">
        <v>-97.417000000000002</v>
      </c>
      <c r="F104" s="9">
        <v>-430.666</v>
      </c>
      <c r="G104" s="9">
        <v>-297.86399999999998</v>
      </c>
      <c r="O104" s="9">
        <f t="shared" si="97"/>
        <v>-346.70281557321834</v>
      </c>
      <c r="P104" s="9">
        <f t="shared" si="98"/>
        <v>-315.61264822134382</v>
      </c>
      <c r="Q104" s="9">
        <f t="shared" si="99"/>
        <v>-1389.6934494998388</v>
      </c>
      <c r="R104" s="9">
        <f t="shared" si="96"/>
        <v>-956.34752456174147</v>
      </c>
    </row>
    <row r="105" spans="2:18" hidden="1" x14ac:dyDescent="0.3">
      <c r="B105" s="6" t="s">
        <v>109</v>
      </c>
      <c r="C105" s="6" t="s">
        <v>110</v>
      </c>
      <c r="D105" s="13">
        <f t="shared" ref="D105:F105" si="100">SUM(D101:D104)</f>
        <v>395.44200000000023</v>
      </c>
      <c r="E105" s="13">
        <f t="shared" si="100"/>
        <v>315.28599999999938</v>
      </c>
      <c r="F105" s="13">
        <f t="shared" si="100"/>
        <v>478.39300000000009</v>
      </c>
      <c r="G105" s="13">
        <f t="shared" ref="G105" si="101">SUM(G101:G104)</f>
        <v>1483.3859999999984</v>
      </c>
      <c r="O105" s="13">
        <f t="shared" si="97"/>
        <v>1331.813283039203</v>
      </c>
      <c r="P105" s="13">
        <f t="shared" si="98"/>
        <v>1021.4669863279963</v>
      </c>
      <c r="Q105" s="13">
        <f t="shared" si="99"/>
        <v>1543.7011939335273</v>
      </c>
      <c r="R105" s="13">
        <f t="shared" si="96"/>
        <v>4762.6854170679972</v>
      </c>
    </row>
    <row r="106" spans="2:18" hidden="1" x14ac:dyDescent="0.3">
      <c r="B106" s="19" t="s">
        <v>111</v>
      </c>
      <c r="C106" s="19" t="s">
        <v>112</v>
      </c>
      <c r="D106" s="9">
        <v>35.944000000000003</v>
      </c>
      <c r="E106" s="9">
        <v>32</v>
      </c>
      <c r="F106" s="9">
        <v>29.094000000000001</v>
      </c>
      <c r="G106" s="9">
        <v>7.6280000000000001</v>
      </c>
      <c r="O106" s="9">
        <f t="shared" si="97"/>
        <v>121.05617674794559</v>
      </c>
      <c r="P106" s="9">
        <f t="shared" si="98"/>
        <v>103.6739454415862</v>
      </c>
      <c r="Q106" s="9">
        <f t="shared" si="99"/>
        <v>93.881897386253641</v>
      </c>
      <c r="R106" s="9">
        <f t="shared" si="96"/>
        <v>24.491106402106212</v>
      </c>
    </row>
    <row r="107" spans="2:18" hidden="1" x14ac:dyDescent="0.3">
      <c r="B107" s="19" t="s">
        <v>113</v>
      </c>
      <c r="C107" s="19" t="s">
        <v>114</v>
      </c>
      <c r="D107" s="9">
        <f>(-398410-54397-8331)/1000</f>
        <v>-461.13799999999998</v>
      </c>
      <c r="E107" s="9">
        <v>-635.87300000000005</v>
      </c>
      <c r="F107" s="9">
        <v>-663.79399999999998</v>
      </c>
      <c r="G107" s="9">
        <v>-463.35300000000001</v>
      </c>
      <c r="O107" s="9">
        <f t="shared" si="97"/>
        <v>-1553.0715344200457</v>
      </c>
      <c r="P107" s="9">
        <f t="shared" si="98"/>
        <v>-2060.1082096805549</v>
      </c>
      <c r="Q107" s="9">
        <f t="shared" si="99"/>
        <v>-2141.9619232010327</v>
      </c>
      <c r="R107" s="9">
        <f t="shared" si="96"/>
        <v>-1487.6806010402622</v>
      </c>
    </row>
    <row r="108" spans="2:18" hidden="1" x14ac:dyDescent="0.3">
      <c r="B108" s="8" t="s">
        <v>115</v>
      </c>
      <c r="C108" s="8" t="s">
        <v>116</v>
      </c>
      <c r="D108" s="9">
        <f t="shared" ref="D108:E108" si="102">+D106+D107</f>
        <v>-425.19399999999996</v>
      </c>
      <c r="E108" s="9">
        <f t="shared" si="102"/>
        <v>-603.87300000000005</v>
      </c>
      <c r="F108" s="9">
        <f>+F106+F107</f>
        <v>-634.69999999999993</v>
      </c>
      <c r="G108" s="9">
        <f t="shared" ref="G108" si="103">+G106+G107</f>
        <v>-455.72500000000002</v>
      </c>
      <c r="O108" s="9">
        <f t="shared" si="97"/>
        <v>-1432.0153576721</v>
      </c>
      <c r="P108" s="9">
        <f t="shared" si="98"/>
        <v>-1956.4342642389686</v>
      </c>
      <c r="Q108" s="9">
        <f t="shared" si="99"/>
        <v>-2048.0800258147788</v>
      </c>
      <c r="R108" s="9">
        <f t="shared" si="96"/>
        <v>-1463.1894946381558</v>
      </c>
    </row>
    <row r="109" spans="2:18" hidden="1" x14ac:dyDescent="0.3">
      <c r="B109" s="8" t="s">
        <v>117</v>
      </c>
      <c r="C109" s="8" t="s">
        <v>118</v>
      </c>
      <c r="D109" s="9">
        <v>0</v>
      </c>
      <c r="E109" s="9">
        <v>0</v>
      </c>
      <c r="F109" s="9">
        <v>1464.2719999999999</v>
      </c>
      <c r="G109" s="9">
        <v>0</v>
      </c>
      <c r="O109" s="9">
        <f t="shared" si="97"/>
        <v>0</v>
      </c>
      <c r="P109" s="9">
        <f t="shared" si="98"/>
        <v>0</v>
      </c>
      <c r="Q109" s="9">
        <f t="shared" si="99"/>
        <v>4724.982252339465</v>
      </c>
      <c r="R109" s="9">
        <f t="shared" si="96"/>
        <v>0</v>
      </c>
    </row>
    <row r="110" spans="2:18" hidden="1" x14ac:dyDescent="0.3">
      <c r="B110" s="6" t="s">
        <v>119</v>
      </c>
      <c r="C110" s="6" t="s">
        <v>120</v>
      </c>
      <c r="D110" s="13">
        <f>D105+D108+D109</f>
        <v>-29.751999999999725</v>
      </c>
      <c r="E110" s="13">
        <f>E105+E108+E109</f>
        <v>-288.58700000000067</v>
      </c>
      <c r="F110" s="13">
        <f>F105+F108+F109</f>
        <v>1307.9650000000001</v>
      </c>
      <c r="G110" s="13">
        <f>G105+G108+G109</f>
        <v>1027.6609999999982</v>
      </c>
      <c r="O110" s="13">
        <f t="shared" si="97"/>
        <v>-100.20207463289682</v>
      </c>
      <c r="P110" s="13">
        <f t="shared" si="98"/>
        <v>-934.96727791097214</v>
      </c>
      <c r="Q110" s="13">
        <f t="shared" si="99"/>
        <v>4220.6034204582129</v>
      </c>
      <c r="R110" s="13">
        <f t="shared" si="96"/>
        <v>3299.4959224298414</v>
      </c>
    </row>
    <row r="111" spans="2:18" hidden="1" x14ac:dyDescent="0.3">
      <c r="B111" s="8" t="s">
        <v>121</v>
      </c>
      <c r="C111" s="8" t="s">
        <v>122</v>
      </c>
      <c r="D111" s="9">
        <v>-27.709</v>
      </c>
      <c r="E111" s="9">
        <v>-57.326000000000001</v>
      </c>
      <c r="F111" s="9">
        <v>-142.19</v>
      </c>
      <c r="G111" s="9">
        <v>-204.73500000000001</v>
      </c>
      <c r="O111" s="9">
        <f t="shared" si="97"/>
        <v>-93.321433382729339</v>
      </c>
      <c r="P111" s="9">
        <f t="shared" si="98"/>
        <v>-185.72539363701159</v>
      </c>
      <c r="Q111" s="9">
        <f t="shared" si="99"/>
        <v>-458.82542755727656</v>
      </c>
      <c r="R111" s="9">
        <f t="shared" si="96"/>
        <v>-657.33962627624737</v>
      </c>
    </row>
    <row r="112" spans="2:18" hidden="1" x14ac:dyDescent="0.3">
      <c r="B112" s="6" t="s">
        <v>123</v>
      </c>
      <c r="C112" s="6" t="s">
        <v>124</v>
      </c>
      <c r="D112" s="13">
        <f t="shared" ref="D112:G112" si="104">D110+D111</f>
        <v>-57.460999999999729</v>
      </c>
      <c r="E112" s="13">
        <f t="shared" si="104"/>
        <v>-345.91300000000069</v>
      </c>
      <c r="F112" s="13">
        <f t="shared" si="104"/>
        <v>1165.7750000000001</v>
      </c>
      <c r="G112" s="13">
        <f t="shared" si="104"/>
        <v>822.92599999999823</v>
      </c>
      <c r="O112" s="13">
        <f t="shared" si="97"/>
        <v>-193.52350801562619</v>
      </c>
      <c r="P112" s="13">
        <f t="shared" si="98"/>
        <v>-1120.6926715479838</v>
      </c>
      <c r="Q112" s="13">
        <f t="shared" si="99"/>
        <v>3761.7779929009366</v>
      </c>
      <c r="R112" s="13">
        <f t="shared" si="96"/>
        <v>2642.1562961535938</v>
      </c>
    </row>
    <row r="113" spans="2:18" hidden="1" x14ac:dyDescent="0.3">
      <c r="B113" s="19" t="s">
        <v>125</v>
      </c>
      <c r="C113" s="19" t="s">
        <v>126</v>
      </c>
      <c r="D113" s="9">
        <v>-57.460999999999999</v>
      </c>
      <c r="E113" s="9">
        <v>-345.91300000000001</v>
      </c>
      <c r="F113" s="9">
        <v>1087.403</v>
      </c>
      <c r="G113" s="9">
        <v>728.10400000000004</v>
      </c>
      <c r="O113" s="9">
        <f t="shared" si="97"/>
        <v>-193.5235080156271</v>
      </c>
      <c r="P113" s="9">
        <f t="shared" si="98"/>
        <v>-1120.6926715479815</v>
      </c>
      <c r="Q113" s="9">
        <f t="shared" si="99"/>
        <v>3508.8835108099393</v>
      </c>
      <c r="R113" s="9">
        <f t="shared" si="96"/>
        <v>2337.7127078918643</v>
      </c>
    </row>
    <row r="114" spans="2:18" hidden="1" x14ac:dyDescent="0.3">
      <c r="B114" s="19" t="s">
        <v>127</v>
      </c>
      <c r="C114" s="19" t="s">
        <v>128</v>
      </c>
      <c r="D114" s="9">
        <v>0</v>
      </c>
      <c r="E114" s="9">
        <v>0</v>
      </c>
      <c r="F114" s="9">
        <v>78.372</v>
      </c>
      <c r="G114" s="9">
        <v>94.822000000000003</v>
      </c>
      <c r="O114" s="9">
        <f t="shared" si="97"/>
        <v>0</v>
      </c>
      <c r="P114" s="9">
        <f t="shared" si="98"/>
        <v>0</v>
      </c>
      <c r="Q114" s="9">
        <f t="shared" si="99"/>
        <v>252.89448209099714</v>
      </c>
      <c r="R114" s="9">
        <f t="shared" si="96"/>
        <v>304.44358826173504</v>
      </c>
    </row>
    <row r="115" spans="2:18" hidden="1" x14ac:dyDescent="0.3">
      <c r="B115" s="6" t="s">
        <v>129</v>
      </c>
      <c r="C115" s="6" t="s">
        <v>130</v>
      </c>
      <c r="D115" s="13">
        <v>0</v>
      </c>
      <c r="E115" s="13">
        <v>0</v>
      </c>
      <c r="F115" s="13">
        <v>-107.176</v>
      </c>
      <c r="G115" s="13">
        <v>547.51099999999997</v>
      </c>
      <c r="O115" s="13">
        <f t="shared" si="97"/>
        <v>0</v>
      </c>
      <c r="P115" s="13">
        <f t="shared" si="98"/>
        <v>0</v>
      </c>
      <c r="Q115" s="13">
        <f t="shared" si="99"/>
        <v>-345.84059373991613</v>
      </c>
      <c r="R115" s="13">
        <f t="shared" si="96"/>
        <v>1757.8854427534836</v>
      </c>
    </row>
    <row r="116" spans="2:18" hidden="1" x14ac:dyDescent="0.3">
      <c r="B116" s="19" t="s">
        <v>125</v>
      </c>
      <c r="C116" s="19" t="s">
        <v>126</v>
      </c>
      <c r="D116" s="9"/>
      <c r="E116" s="9"/>
      <c r="F116" s="9"/>
      <c r="G116" s="9"/>
      <c r="O116" s="9">
        <f t="shared" si="97"/>
        <v>0</v>
      </c>
      <c r="P116" s="9">
        <f t="shared" si="98"/>
        <v>0</v>
      </c>
      <c r="Q116" s="9">
        <f t="shared" si="99"/>
        <v>0</v>
      </c>
      <c r="R116" s="9">
        <f t="shared" si="96"/>
        <v>0</v>
      </c>
    </row>
    <row r="117" spans="2:18" hidden="1" x14ac:dyDescent="0.3">
      <c r="B117" s="19" t="s">
        <v>131</v>
      </c>
      <c r="C117" s="19" t="s">
        <v>128</v>
      </c>
      <c r="D117" s="9"/>
      <c r="E117" s="9"/>
      <c r="F117" s="9"/>
      <c r="G117" s="9"/>
      <c r="O117" s="9">
        <f t="shared" si="97"/>
        <v>0</v>
      </c>
      <c r="P117" s="9">
        <f t="shared" si="98"/>
        <v>0</v>
      </c>
      <c r="Q117" s="9">
        <f t="shared" si="99"/>
        <v>0</v>
      </c>
      <c r="R117" s="9">
        <f t="shared" si="96"/>
        <v>0</v>
      </c>
    </row>
    <row r="118" spans="2:18" hidden="1" x14ac:dyDescent="0.3">
      <c r="B118" s="6" t="s">
        <v>132</v>
      </c>
      <c r="C118" s="6" t="s">
        <v>133</v>
      </c>
      <c r="D118" s="13">
        <f>+D112+D115</f>
        <v>-57.460999999999729</v>
      </c>
      <c r="E118" s="13">
        <f t="shared" ref="E118:G118" si="105">+E112+E115</f>
        <v>-345.91300000000069</v>
      </c>
      <c r="F118" s="13">
        <f t="shared" si="105"/>
        <v>1058.5990000000002</v>
      </c>
      <c r="G118" s="13">
        <f t="shared" si="105"/>
        <v>1370.4369999999981</v>
      </c>
      <c r="O118" s="13">
        <f t="shared" si="97"/>
        <v>-193.52350801562619</v>
      </c>
      <c r="P118" s="13">
        <f t="shared" si="98"/>
        <v>-1120.6926715479838</v>
      </c>
      <c r="Q118" s="13">
        <f t="shared" si="99"/>
        <v>3415.93739916102</v>
      </c>
      <c r="R118" s="13">
        <f t="shared" si="96"/>
        <v>4400.0417389070772</v>
      </c>
    </row>
    <row r="119" spans="2:18" hidden="1" x14ac:dyDescent="0.3">
      <c r="B119" s="19" t="s">
        <v>125</v>
      </c>
      <c r="C119" s="19" t="s">
        <v>126</v>
      </c>
      <c r="D119" s="9">
        <v>-57.461000000000183</v>
      </c>
      <c r="E119" s="9">
        <v>-345.91300000000001</v>
      </c>
      <c r="F119" s="9">
        <v>996.80899999999974</v>
      </c>
      <c r="G119" s="9">
        <v>1275.615</v>
      </c>
      <c r="O119" s="9">
        <f t="shared" si="97"/>
        <v>-193.5235080156277</v>
      </c>
      <c r="P119" s="9">
        <f t="shared" si="98"/>
        <v>-1120.6926715479815</v>
      </c>
      <c r="Q119" s="9">
        <f t="shared" si="99"/>
        <v>3216.5505001613419</v>
      </c>
      <c r="R119" s="9">
        <f t="shared" si="96"/>
        <v>4095.5981506453477</v>
      </c>
    </row>
    <row r="120" spans="2:18" hidden="1" x14ac:dyDescent="0.3">
      <c r="B120" s="19" t="s">
        <v>134</v>
      </c>
      <c r="C120" s="19" t="s">
        <v>128</v>
      </c>
      <c r="D120" s="9">
        <v>0</v>
      </c>
      <c r="E120" s="9">
        <v>0</v>
      </c>
      <c r="F120" s="9">
        <v>61.79</v>
      </c>
      <c r="G120" s="9">
        <v>94.822000000000003</v>
      </c>
      <c r="O120" s="9">
        <f t="shared" si="97"/>
        <v>0</v>
      </c>
      <c r="P120" s="9">
        <f t="shared" si="98"/>
        <v>0</v>
      </c>
      <c r="Q120" s="9">
        <f t="shared" si="99"/>
        <v>199.38689899967733</v>
      </c>
      <c r="R120" s="9">
        <f t="shared" si="96"/>
        <v>304.44358826173504</v>
      </c>
    </row>
    <row r="121" spans="2:18" hidden="1" x14ac:dyDescent="0.3">
      <c r="B121" s="20"/>
      <c r="C121" s="20"/>
      <c r="D121" s="39"/>
      <c r="E121" s="39"/>
      <c r="F121" s="39"/>
      <c r="G121" s="39"/>
      <c r="O121" s="39"/>
      <c r="P121" s="39"/>
      <c r="Q121" s="39"/>
      <c r="R121" s="39"/>
    </row>
    <row r="122" spans="2:18" hidden="1" x14ac:dyDescent="0.3">
      <c r="B122" s="15" t="s">
        <v>135</v>
      </c>
      <c r="C122" s="15" t="s">
        <v>136</v>
      </c>
      <c r="D122" s="40">
        <v>-34.47</v>
      </c>
      <c r="E122" s="40">
        <v>-206.27</v>
      </c>
      <c r="F122" s="40">
        <v>597.70000000000005</v>
      </c>
      <c r="G122" s="40">
        <v>751.61</v>
      </c>
      <c r="O122" s="40">
        <f t="shared" ref="O122:R123" si="106">+D122/O$70</f>
        <v>-0.1160918765997575</v>
      </c>
      <c r="P122" s="40">
        <f t="shared" si="106"/>
        <v>-0.66827577269487459</v>
      </c>
      <c r="Q122" s="40">
        <f t="shared" si="106"/>
        <v>1.9286866731203618</v>
      </c>
      <c r="R122" s="40" t="e">
        <f t="shared" si="106"/>
        <v>#DIV/0!</v>
      </c>
    </row>
    <row r="123" spans="2:18" hidden="1" x14ac:dyDescent="0.3">
      <c r="B123" s="5" t="s">
        <v>137</v>
      </c>
      <c r="C123" s="5" t="s">
        <v>138</v>
      </c>
      <c r="D123" s="41">
        <v>-34.47</v>
      </c>
      <c r="E123" s="41">
        <v>-206.27</v>
      </c>
      <c r="F123" s="41">
        <v>597.70000000000005</v>
      </c>
      <c r="G123" s="41">
        <v>749.87</v>
      </c>
      <c r="O123" s="41">
        <f t="shared" si="106"/>
        <v>-0.1160918765997575</v>
      </c>
      <c r="P123" s="41">
        <f t="shared" si="106"/>
        <v>-0.66827577269487459</v>
      </c>
      <c r="Q123" s="41">
        <f t="shared" si="106"/>
        <v>1.9286866731203618</v>
      </c>
      <c r="R123" s="41" t="e">
        <f t="shared" si="106"/>
        <v>#DIV/0!</v>
      </c>
    </row>
    <row r="124" spans="2:18" hidden="1" x14ac:dyDescent="0.3">
      <c r="B124" s="5" t="s">
        <v>139</v>
      </c>
      <c r="C124" s="5" t="s">
        <v>139</v>
      </c>
      <c r="D124" s="13">
        <v>815.60400000000004</v>
      </c>
      <c r="E124" s="13">
        <v>749.34699999999998</v>
      </c>
      <c r="F124" s="13">
        <v>1428.8420000000001</v>
      </c>
      <c r="G124" s="13">
        <v>2313.67</v>
      </c>
      <c r="H124" s="30"/>
      <c r="I124" s="30"/>
      <c r="J124" s="30"/>
      <c r="K124" s="81"/>
      <c r="L124" s="81"/>
      <c r="M124" s="81"/>
      <c r="N124" s="81"/>
      <c r="O124" s="13">
        <f t="shared" ref="O124" si="107">+D124/O$70*1000</f>
        <v>2746.8813148322783</v>
      </c>
      <c r="P124" s="13">
        <f t="shared" ref="P124" si="108">+E124/P$70*1000</f>
        <v>2427.7424998380088</v>
      </c>
      <c r="Q124" s="13">
        <f t="shared" ref="Q124" si="109">+F124/Q$70*1000</f>
        <v>4610.6550500161347</v>
      </c>
      <c r="R124" s="13" t="e">
        <f t="shared" ref="R124" si="110">+G124/R$70*1000</f>
        <v>#DIV/0!</v>
      </c>
    </row>
    <row r="125" spans="2:18" hidden="1" x14ac:dyDescent="0.3"/>
    <row r="126" spans="2:18" hidden="1" x14ac:dyDescent="0.3"/>
    <row r="127" spans="2:18" ht="15.6" hidden="1" x14ac:dyDescent="0.3">
      <c r="B127" s="44" t="s">
        <v>182</v>
      </c>
    </row>
    <row r="128" spans="2:18" hidden="1" x14ac:dyDescent="0.3"/>
    <row r="129" spans="2:26" hidden="1" x14ac:dyDescent="0.3">
      <c r="B129" s="8"/>
      <c r="C129" s="8"/>
      <c r="D129" s="45"/>
      <c r="E129" s="45"/>
      <c r="F129" s="45"/>
      <c r="G129" s="45"/>
      <c r="H129" s="45"/>
    </row>
    <row r="130" spans="2:26" hidden="1" x14ac:dyDescent="0.3">
      <c r="B130" s="46"/>
      <c r="C130" s="47" t="s">
        <v>183</v>
      </c>
      <c r="D130" s="48">
        <v>2013</v>
      </c>
      <c r="E130" s="48">
        <v>2014</v>
      </c>
      <c r="F130" s="48">
        <v>2015</v>
      </c>
      <c r="G130" s="48">
        <v>2016</v>
      </c>
      <c r="H130" s="48">
        <v>2017</v>
      </c>
      <c r="I130" s="48">
        <v>2018</v>
      </c>
      <c r="J130" s="48">
        <v>2019</v>
      </c>
      <c r="K130" s="48">
        <v>2020</v>
      </c>
      <c r="L130" s="48">
        <v>2021</v>
      </c>
      <c r="M130" s="48"/>
      <c r="N130" s="48"/>
      <c r="P130" s="48">
        <v>2013</v>
      </c>
      <c r="Q130" s="48">
        <v>2014</v>
      </c>
      <c r="R130" s="48">
        <v>2015</v>
      </c>
      <c r="S130" s="48">
        <v>2016</v>
      </c>
      <c r="T130" s="48">
        <v>2017</v>
      </c>
      <c r="U130" s="48">
        <v>2018</v>
      </c>
      <c r="V130" s="48">
        <v>2019</v>
      </c>
      <c r="W130" s="48">
        <v>2020</v>
      </c>
      <c r="X130" s="48">
        <v>2021</v>
      </c>
      <c r="Y130" s="48">
        <v>2021</v>
      </c>
      <c r="Z130" s="48">
        <v>2021</v>
      </c>
    </row>
    <row r="131" spans="2:26" hidden="1" x14ac:dyDescent="0.3">
      <c r="B131" s="49"/>
      <c r="C131" s="4" t="s">
        <v>2</v>
      </c>
      <c r="D131" s="3" t="s">
        <v>3</v>
      </c>
      <c r="E131" s="3" t="s">
        <v>3</v>
      </c>
      <c r="F131" s="3" t="s">
        <v>3</v>
      </c>
      <c r="G131" s="3" t="s">
        <v>3</v>
      </c>
      <c r="H131" s="3" t="s">
        <v>3</v>
      </c>
      <c r="I131" s="3" t="s">
        <v>3</v>
      </c>
      <c r="J131" s="3" t="s">
        <v>3</v>
      </c>
      <c r="K131" s="3" t="s">
        <v>3</v>
      </c>
      <c r="L131" s="3" t="s">
        <v>3</v>
      </c>
      <c r="M131" s="3"/>
      <c r="N131" s="3"/>
      <c r="P131" s="3" t="s">
        <v>3</v>
      </c>
      <c r="Q131" s="3" t="s">
        <v>3</v>
      </c>
      <c r="R131" s="3" t="s">
        <v>3</v>
      </c>
      <c r="S131" s="3" t="s">
        <v>3</v>
      </c>
      <c r="T131" s="3" t="s">
        <v>3</v>
      </c>
      <c r="U131" s="3" t="s">
        <v>3</v>
      </c>
      <c r="V131" s="3" t="s">
        <v>3</v>
      </c>
      <c r="W131" s="3" t="s">
        <v>3</v>
      </c>
      <c r="X131" s="3" t="s">
        <v>3</v>
      </c>
      <c r="Y131" s="3" t="s">
        <v>3</v>
      </c>
      <c r="Z131" s="3" t="s">
        <v>3</v>
      </c>
    </row>
    <row r="132" spans="2:26" hidden="1" x14ac:dyDescent="0.3">
      <c r="B132" s="50" t="s">
        <v>119</v>
      </c>
      <c r="C132" s="8" t="s">
        <v>120</v>
      </c>
      <c r="D132" s="9">
        <v>-29.751999999999999</v>
      </c>
      <c r="E132" s="9">
        <v>-288.58699999999999</v>
      </c>
      <c r="F132" s="9">
        <v>1307.9649999999999</v>
      </c>
      <c r="G132" s="9">
        <v>1027.6600000000001</v>
      </c>
      <c r="H132" s="9">
        <v>1032.83</v>
      </c>
      <c r="I132" s="9">
        <v>805.89300000000003</v>
      </c>
      <c r="J132" s="9">
        <v>709.46501699999817</v>
      </c>
      <c r="K132" s="9">
        <v>1474.201</v>
      </c>
      <c r="L132" s="9">
        <v>7072.268</v>
      </c>
      <c r="M132" s="9"/>
      <c r="N132" s="9"/>
      <c r="P132" s="9">
        <f t="shared" ref="P132:R135" si="111">IFERROR(D132/O$70*1000,0)</f>
        <v>-100.20207463289773</v>
      </c>
      <c r="Q132" s="9">
        <f t="shared" si="111"/>
        <v>-934.96727791096987</v>
      </c>
      <c r="R132" s="9">
        <f t="shared" si="111"/>
        <v>4220.6034204582129</v>
      </c>
      <c r="S132" s="9">
        <f t="shared" ref="S132:Z135" si="112">IFERROR(G132/S$70*1000,0)</f>
        <v>3299.4927117446864</v>
      </c>
      <c r="T132" s="9">
        <f t="shared" si="112"/>
        <v>3239.0315802678206</v>
      </c>
      <c r="U132" s="9">
        <f t="shared" si="112"/>
        <v>2477.0032272936837</v>
      </c>
      <c r="V132" s="9">
        <f t="shared" si="112"/>
        <v>2020.2893669732553</v>
      </c>
      <c r="W132" s="9">
        <f t="shared" si="112"/>
        <v>4197.9696443318053</v>
      </c>
      <c r="X132" s="9">
        <f t="shared" si="112"/>
        <v>19726.285841794044</v>
      </c>
      <c r="Y132" s="9">
        <f t="shared" si="112"/>
        <v>0</v>
      </c>
      <c r="Z132" s="9">
        <f t="shared" si="112"/>
        <v>0</v>
      </c>
    </row>
    <row r="133" spans="2:26" hidden="1" x14ac:dyDescent="0.3">
      <c r="B133" s="50" t="s">
        <v>184</v>
      </c>
      <c r="C133" s="8" t="s">
        <v>185</v>
      </c>
      <c r="D133" s="9">
        <v>362.46600000000001</v>
      </c>
      <c r="E133" s="9">
        <v>423.58600000000001</v>
      </c>
      <c r="F133" s="9">
        <v>372.15899999999999</v>
      </c>
      <c r="G133" s="9">
        <v>324.92700000000002</v>
      </c>
      <c r="H133" s="9">
        <v>322.21600000000001</v>
      </c>
      <c r="I133" s="9">
        <v>316.90499999999997</v>
      </c>
      <c r="J133" s="9">
        <v>736.66738499999997</v>
      </c>
      <c r="K133" s="9">
        <v>953.83900000000006</v>
      </c>
      <c r="L133" s="9">
        <v>971.97699999999998</v>
      </c>
      <c r="M133" s="9"/>
      <c r="N133" s="9"/>
      <c r="P133" s="9">
        <f t="shared" si="111"/>
        <v>1220.7530647985989</v>
      </c>
      <c r="Q133" s="9">
        <f t="shared" si="111"/>
        <v>1372.3384954318667</v>
      </c>
      <c r="R133" s="9">
        <f t="shared" si="111"/>
        <v>1200.9002904162633</v>
      </c>
      <c r="S133" s="9">
        <f t="shared" si="112"/>
        <v>1043.2382970525912</v>
      </c>
      <c r="T133" s="9">
        <f t="shared" si="112"/>
        <v>1010.4933044814502</v>
      </c>
      <c r="U133" s="9">
        <f t="shared" si="112"/>
        <v>974.0433379437527</v>
      </c>
      <c r="V133" s="9">
        <f t="shared" si="112"/>
        <v>2097.7514736452426</v>
      </c>
      <c r="W133" s="9">
        <f t="shared" si="112"/>
        <v>2716.1745023777657</v>
      </c>
      <c r="X133" s="9">
        <f t="shared" si="112"/>
        <v>2711.0816690840124</v>
      </c>
      <c r="Y133" s="9">
        <f t="shared" si="112"/>
        <v>0</v>
      </c>
      <c r="Z133" s="9">
        <f t="shared" si="112"/>
        <v>0</v>
      </c>
    </row>
    <row r="134" spans="2:26" hidden="1" x14ac:dyDescent="0.3">
      <c r="B134" s="50" t="s">
        <v>186</v>
      </c>
      <c r="C134" s="8" t="s">
        <v>187</v>
      </c>
      <c r="D134" s="9">
        <v>420.16199999999998</v>
      </c>
      <c r="E134" s="9">
        <v>404.05799999999999</v>
      </c>
      <c r="F134" s="9">
        <v>627.36599999999999</v>
      </c>
      <c r="G134" s="9">
        <v>601.33199999999999</v>
      </c>
      <c r="H134" s="9">
        <v>571.66499999999996</v>
      </c>
      <c r="I134" s="9">
        <v>729.81799999999998</v>
      </c>
      <c r="J134" s="9">
        <v>2045.7517579999999</v>
      </c>
      <c r="K134" s="9">
        <v>2858.5230000000001</v>
      </c>
      <c r="L134" s="9">
        <v>3936.6689999999999</v>
      </c>
      <c r="M134" s="9"/>
      <c r="N134" s="9"/>
      <c r="P134" s="9">
        <f t="shared" si="111"/>
        <v>1415.0680317930755</v>
      </c>
      <c r="Q134" s="9">
        <f t="shared" si="111"/>
        <v>1309.0714702261387</v>
      </c>
      <c r="R134" s="9">
        <f t="shared" si="111"/>
        <v>2024.4143272023236</v>
      </c>
      <c r="S134" s="9">
        <f t="shared" si="112"/>
        <v>1930.6877287613179</v>
      </c>
      <c r="T134" s="9">
        <f t="shared" si="112"/>
        <v>1792.783893122589</v>
      </c>
      <c r="U134" s="9">
        <f t="shared" si="112"/>
        <v>2243.178115875211</v>
      </c>
      <c r="V134" s="9">
        <f t="shared" si="112"/>
        <v>5825.5311045932167</v>
      </c>
      <c r="W134" s="9">
        <f t="shared" si="112"/>
        <v>8139.9977219010734</v>
      </c>
      <c r="X134" s="9">
        <f t="shared" si="112"/>
        <v>10980.333035813901</v>
      </c>
      <c r="Y134" s="9">
        <f t="shared" si="112"/>
        <v>0</v>
      </c>
      <c r="Z134" s="9">
        <f t="shared" si="112"/>
        <v>0</v>
      </c>
    </row>
    <row r="135" spans="2:26" hidden="1" x14ac:dyDescent="0.3">
      <c r="B135" s="50" t="s">
        <v>188</v>
      </c>
      <c r="C135" s="8" t="s">
        <v>189</v>
      </c>
      <c r="D135" s="9">
        <v>0</v>
      </c>
      <c r="E135" s="9">
        <v>0</v>
      </c>
      <c r="F135" s="9">
        <v>323.08199999999999</v>
      </c>
      <c r="G135" s="9">
        <v>228.953</v>
      </c>
      <c r="H135" s="9">
        <v>1.35</v>
      </c>
      <c r="I135" s="9">
        <v>32.522967000000001</v>
      </c>
      <c r="J135" s="9">
        <v>14.653</v>
      </c>
      <c r="K135" s="9">
        <v>599.77700000000004</v>
      </c>
      <c r="L135" s="9">
        <v>132.601</v>
      </c>
      <c r="M135" s="9"/>
      <c r="N135" s="9"/>
      <c r="P135" s="9">
        <f t="shared" si="111"/>
        <v>0</v>
      </c>
      <c r="Q135" s="9">
        <f t="shared" si="111"/>
        <v>0</v>
      </c>
      <c r="R135" s="9">
        <f t="shared" si="111"/>
        <v>1042.5363020329139</v>
      </c>
      <c r="S135" s="9">
        <f t="shared" si="112"/>
        <v>735.09599948629045</v>
      </c>
      <c r="T135" s="9">
        <f t="shared" si="112"/>
        <v>4.2337002540220148</v>
      </c>
      <c r="U135" s="9">
        <f t="shared" si="112"/>
        <v>99.963015214384512</v>
      </c>
      <c r="V135" s="9">
        <f t="shared" si="112"/>
        <v>41.726229461514365</v>
      </c>
      <c r="W135" s="9">
        <f t="shared" si="112"/>
        <v>1707.939174758664</v>
      </c>
      <c r="X135" s="9">
        <f t="shared" si="112"/>
        <v>369.85663282383132</v>
      </c>
      <c r="Y135" s="9">
        <f t="shared" si="112"/>
        <v>0</v>
      </c>
      <c r="Z135" s="9">
        <f t="shared" si="112"/>
        <v>0</v>
      </c>
    </row>
    <row r="136" spans="2:26" hidden="1" x14ac:dyDescent="0.3">
      <c r="B136" s="50" t="s">
        <v>419</v>
      </c>
      <c r="C136" s="8"/>
      <c r="D136" s="9"/>
      <c r="E136" s="9"/>
      <c r="F136" s="9"/>
      <c r="G136" s="9"/>
      <c r="H136" s="9"/>
      <c r="I136" s="9"/>
      <c r="J136" s="9"/>
      <c r="K136" s="9">
        <v>89.051000000000002</v>
      </c>
      <c r="L136" s="9">
        <v>12.612</v>
      </c>
      <c r="M136" s="9"/>
      <c r="N136" s="9"/>
      <c r="P136" s="9">
        <f t="shared" ref="P136:P137" si="113">IFERROR(D136/O$70*1000,0)</f>
        <v>0</v>
      </c>
      <c r="Q136" s="9">
        <f t="shared" ref="Q136:Q137" si="114">IFERROR(E136/P$70*1000,0)</f>
        <v>0</v>
      </c>
      <c r="R136" s="9">
        <f t="shared" ref="R136:R137" si="115">IFERROR(F136/Q$70*1000,0)</f>
        <v>0</v>
      </c>
      <c r="S136" s="9">
        <f t="shared" ref="S136:S137" si="116">IFERROR(G136/S$70*1000,0)</f>
        <v>0</v>
      </c>
      <c r="T136" s="9">
        <f t="shared" ref="T136:T137" si="117">IFERROR(H136/T$70*1000,0)</f>
        <v>0</v>
      </c>
      <c r="U136" s="9">
        <f t="shared" ref="U136:U137" si="118">IFERROR(I136/U$70*1000,0)</f>
        <v>0</v>
      </c>
      <c r="V136" s="9">
        <f t="shared" ref="V136:V137" si="119">IFERROR(J136/V$70*1000,0)</f>
        <v>0</v>
      </c>
      <c r="W136" s="9">
        <f t="shared" ref="W136:W137" si="120">IFERROR(K136/W$70*1000,0)</f>
        <v>253.58373437366515</v>
      </c>
      <c r="X136" s="9">
        <f t="shared" ref="X136:X147" si="121">IFERROR(L136/X$70*1000,0)</f>
        <v>35.177953810108221</v>
      </c>
      <c r="Y136" s="9">
        <f t="shared" ref="Y136:Y147" si="122">IFERROR(M136/Y$70*1000,0)</f>
        <v>0</v>
      </c>
      <c r="Z136" s="9">
        <f t="shared" ref="Z136:Z147" si="123">IFERROR(N136/Z$70*1000,0)</f>
        <v>0</v>
      </c>
    </row>
    <row r="137" spans="2:26" hidden="1" x14ac:dyDescent="0.3">
      <c r="B137" s="50" t="s">
        <v>340</v>
      </c>
      <c r="C137" s="8"/>
      <c r="D137" s="9"/>
      <c r="E137" s="9"/>
      <c r="F137" s="9"/>
      <c r="G137" s="9"/>
      <c r="H137" s="9"/>
      <c r="I137" s="9">
        <v>0.52900000000000003</v>
      </c>
      <c r="J137" s="9">
        <v>-79.375</v>
      </c>
      <c r="K137" s="9">
        <v>0</v>
      </c>
      <c r="L137" s="9">
        <v>0</v>
      </c>
      <c r="M137" s="9"/>
      <c r="N137" s="9"/>
      <c r="P137" s="9">
        <f t="shared" si="113"/>
        <v>0</v>
      </c>
      <c r="Q137" s="9">
        <f t="shared" si="114"/>
        <v>0</v>
      </c>
      <c r="R137" s="9">
        <f t="shared" si="115"/>
        <v>0</v>
      </c>
      <c r="S137" s="9">
        <f t="shared" si="116"/>
        <v>0</v>
      </c>
      <c r="T137" s="9">
        <f t="shared" si="117"/>
        <v>0</v>
      </c>
      <c r="U137" s="9">
        <f t="shared" si="118"/>
        <v>1.6259412939910867</v>
      </c>
      <c r="V137" s="9">
        <f t="shared" si="119"/>
        <v>-226.03012785830222</v>
      </c>
      <c r="W137" s="9">
        <f t="shared" si="120"/>
        <v>0</v>
      </c>
      <c r="X137" s="9">
        <f t="shared" si="121"/>
        <v>0</v>
      </c>
      <c r="Y137" s="9">
        <f t="shared" si="122"/>
        <v>0</v>
      </c>
      <c r="Z137" s="9">
        <f t="shared" si="123"/>
        <v>0</v>
      </c>
    </row>
    <row r="138" spans="2:26" hidden="1" x14ac:dyDescent="0.3">
      <c r="B138" s="50" t="s">
        <v>190</v>
      </c>
      <c r="C138" s="8" t="s">
        <v>72</v>
      </c>
      <c r="D138" s="9">
        <v>0</v>
      </c>
      <c r="E138" s="9">
        <v>0</v>
      </c>
      <c r="F138" s="9">
        <v>-88.921999999999997</v>
      </c>
      <c r="G138" s="9">
        <v>-79.165000000000006</v>
      </c>
      <c r="H138" s="9">
        <v>-225.58699999999999</v>
      </c>
      <c r="I138" s="9">
        <v>-86.629000000000005</v>
      </c>
      <c r="J138" s="9">
        <v>0</v>
      </c>
      <c r="K138" s="9">
        <v>37</v>
      </c>
      <c r="L138" s="9">
        <v>93.643000000000001</v>
      </c>
      <c r="M138" s="9"/>
      <c r="N138" s="9"/>
      <c r="P138" s="9">
        <f t="shared" ref="P138:R141" si="124">IFERROR(D138/O$70*1000,0)</f>
        <v>0</v>
      </c>
      <c r="Q138" s="9">
        <f t="shared" si="124"/>
        <v>0</v>
      </c>
      <c r="R138" s="9">
        <f t="shared" si="124"/>
        <v>-286.9377218457567</v>
      </c>
      <c r="S138" s="9">
        <f t="shared" ref="S138:W141" si="125">IFERROR(G138/S$70*1000,0)</f>
        <v>-254.17389070827718</v>
      </c>
      <c r="T138" s="9">
        <f t="shared" si="125"/>
        <v>-707.45758459560318</v>
      </c>
      <c r="U138" s="9">
        <f t="shared" si="125"/>
        <v>-266.26402335945903</v>
      </c>
      <c r="V138" s="9">
        <f t="shared" si="125"/>
        <v>0</v>
      </c>
      <c r="W138" s="9">
        <f t="shared" si="125"/>
        <v>105.36207534812199</v>
      </c>
      <c r="X138" s="9">
        <f t="shared" si="121"/>
        <v>261.19323887091377</v>
      </c>
      <c r="Y138" s="9">
        <f t="shared" si="122"/>
        <v>0</v>
      </c>
      <c r="Z138" s="9">
        <f t="shared" si="123"/>
        <v>0</v>
      </c>
    </row>
    <row r="139" spans="2:26" hidden="1" x14ac:dyDescent="0.3">
      <c r="B139" s="50" t="s">
        <v>191</v>
      </c>
      <c r="C139" s="8" t="s">
        <v>192</v>
      </c>
      <c r="D139" s="9">
        <v>3.6030000000000002</v>
      </c>
      <c r="E139" s="9">
        <v>3.5419999999999998</v>
      </c>
      <c r="F139" s="9">
        <v>8.9920000000000009</v>
      </c>
      <c r="G139" s="9">
        <v>9.2469999999999999</v>
      </c>
      <c r="H139" s="9" t="s">
        <v>12</v>
      </c>
      <c r="I139" s="9">
        <v>12.278180000000001</v>
      </c>
      <c r="J139" s="9">
        <v>316.94099999999997</v>
      </c>
      <c r="K139" s="9">
        <v>-3.4700000000157158E-4</v>
      </c>
      <c r="L139" s="9">
        <v>-54.18</v>
      </c>
      <c r="M139" s="9"/>
      <c r="N139" s="9"/>
      <c r="P139" s="9">
        <f t="shared" si="124"/>
        <v>12.134581705509902</v>
      </c>
      <c r="Q139" s="9">
        <f t="shared" si="124"/>
        <v>11.475409836065571</v>
      </c>
      <c r="R139" s="9">
        <f t="shared" si="124"/>
        <v>29.01581155211359</v>
      </c>
      <c r="S139" s="9">
        <f t="shared" si="125"/>
        <v>29.689205676491365</v>
      </c>
      <c r="T139" s="9">
        <f t="shared" si="125"/>
        <v>0</v>
      </c>
      <c r="U139" s="9">
        <f t="shared" si="125"/>
        <v>37.738374058706007</v>
      </c>
      <c r="V139" s="9">
        <f t="shared" si="125"/>
        <v>902.52868980835478</v>
      </c>
      <c r="W139" s="9">
        <f t="shared" si="125"/>
        <v>-9.8812540935037615E-4</v>
      </c>
      <c r="X139" s="9">
        <f t="shared" si="121"/>
        <v>-151.12127635836217</v>
      </c>
      <c r="Y139" s="9">
        <f t="shared" si="122"/>
        <v>0</v>
      </c>
      <c r="Z139" s="9">
        <f t="shared" si="123"/>
        <v>0</v>
      </c>
    </row>
    <row r="140" spans="2:26" hidden="1" x14ac:dyDescent="0.3">
      <c r="B140" s="50" t="s">
        <v>193</v>
      </c>
      <c r="C140" s="8" t="s">
        <v>194</v>
      </c>
      <c r="D140" s="9">
        <v>-0.46899999999999997</v>
      </c>
      <c r="E140" s="9">
        <v>-6.0270000000000001</v>
      </c>
      <c r="F140" s="9">
        <v>283.63900000000001</v>
      </c>
      <c r="G140" s="9">
        <v>-68.084000000000003</v>
      </c>
      <c r="H140" s="9">
        <v>-140.096</v>
      </c>
      <c r="I140" s="9">
        <v>-79.989666999999997</v>
      </c>
      <c r="J140" s="9">
        <v>394.42599999999999</v>
      </c>
      <c r="K140" s="9">
        <v>-98.81</v>
      </c>
      <c r="L140" s="9">
        <v>157.001</v>
      </c>
      <c r="M140" s="9"/>
      <c r="N140" s="9"/>
      <c r="P140" s="9">
        <f t="shared" si="124"/>
        <v>-1.5795500471507475</v>
      </c>
      <c r="Q140" s="9">
        <f t="shared" si="124"/>
        <v>-19.526339661763753</v>
      </c>
      <c r="R140" s="9">
        <f t="shared" si="124"/>
        <v>915.25976121329461</v>
      </c>
      <c r="S140" s="9">
        <f t="shared" si="125"/>
        <v>-218.59628844795481</v>
      </c>
      <c r="T140" s="9">
        <f t="shared" si="125"/>
        <v>-439.35145984256906</v>
      </c>
      <c r="U140" s="9">
        <f t="shared" si="125"/>
        <v>-245.85728292607959</v>
      </c>
      <c r="V140" s="9">
        <f t="shared" si="125"/>
        <v>1123.1768089529287</v>
      </c>
      <c r="W140" s="9">
        <f t="shared" si="125"/>
        <v>-281.37369365264686</v>
      </c>
      <c r="X140" s="9">
        <f t="shared" si="121"/>
        <v>437.91420283387259</v>
      </c>
      <c r="Y140" s="9">
        <f t="shared" si="122"/>
        <v>0</v>
      </c>
      <c r="Z140" s="9">
        <f t="shared" si="123"/>
        <v>0</v>
      </c>
    </row>
    <row r="141" spans="2:26" hidden="1" x14ac:dyDescent="0.3">
      <c r="B141" s="50" t="s">
        <v>195</v>
      </c>
      <c r="C141" s="10" t="s">
        <v>196</v>
      </c>
      <c r="D141" s="9">
        <v>73.94</v>
      </c>
      <c r="E141" s="9">
        <v>122.88</v>
      </c>
      <c r="F141" s="9">
        <v>-1.514</v>
      </c>
      <c r="G141" s="9">
        <v>-51.652000000000001</v>
      </c>
      <c r="H141" s="9">
        <v>-472.89299999999997</v>
      </c>
      <c r="I141" s="9">
        <v>-6.2274139999999996</v>
      </c>
      <c r="J141" s="9"/>
      <c r="K141" s="9">
        <v>0</v>
      </c>
      <c r="L141" s="9">
        <v>0</v>
      </c>
      <c r="M141" s="9"/>
      <c r="N141" s="9"/>
      <c r="P141" s="9">
        <f t="shared" si="124"/>
        <v>249.02330594099419</v>
      </c>
      <c r="Q141" s="9">
        <f t="shared" si="124"/>
        <v>398.10795049569106</v>
      </c>
      <c r="R141" s="9">
        <f t="shared" si="124"/>
        <v>-4.8854469183607625</v>
      </c>
      <c r="S141" s="9">
        <f t="shared" si="125"/>
        <v>-165.83830989533169</v>
      </c>
      <c r="T141" s="9">
        <f t="shared" si="125"/>
        <v>-1483.027566092765</v>
      </c>
      <c r="U141" s="9">
        <f t="shared" si="125"/>
        <v>-19.140660826801902</v>
      </c>
      <c r="V141" s="9">
        <f t="shared" si="125"/>
        <v>0</v>
      </c>
      <c r="W141" s="9">
        <f t="shared" si="125"/>
        <v>0</v>
      </c>
      <c r="X141" s="9">
        <f t="shared" si="121"/>
        <v>0</v>
      </c>
      <c r="Y141" s="9">
        <f t="shared" si="122"/>
        <v>0</v>
      </c>
      <c r="Z141" s="9">
        <f t="shared" si="123"/>
        <v>0</v>
      </c>
    </row>
    <row r="142" spans="2:26" hidden="1" x14ac:dyDescent="0.3">
      <c r="B142" s="50" t="s">
        <v>420</v>
      </c>
      <c r="C142" s="10" t="s">
        <v>421</v>
      </c>
      <c r="D142" s="9"/>
      <c r="E142" s="9"/>
      <c r="F142" s="9"/>
      <c r="G142" s="9"/>
      <c r="H142" s="9"/>
      <c r="I142" s="9"/>
      <c r="J142" s="9">
        <v>-1415.65</v>
      </c>
      <c r="K142" s="9">
        <v>2277.4630000000002</v>
      </c>
      <c r="L142" s="9">
        <v>4682.76</v>
      </c>
      <c r="M142" s="9"/>
      <c r="N142" s="9"/>
      <c r="P142" s="9"/>
      <c r="Q142" s="9"/>
      <c r="R142" s="9"/>
      <c r="S142" s="9"/>
      <c r="T142" s="9"/>
      <c r="U142" s="9">
        <f t="shared" ref="U142" si="126">IFERROR(I142/U$70*1000,0)</f>
        <v>0</v>
      </c>
      <c r="V142" s="9">
        <f t="shared" ref="V142" si="127">IFERROR(J142/V$70*1000,0)</f>
        <v>-4031.2384315288891</v>
      </c>
      <c r="W142" s="9">
        <f t="shared" ref="W142" si="128">IFERROR(K142/W$70*1000,0)</f>
        <v>6485.3575191502687</v>
      </c>
      <c r="X142" s="9">
        <f t="shared" si="121"/>
        <v>13061.36338279594</v>
      </c>
      <c r="Y142" s="9">
        <f t="shared" si="122"/>
        <v>0</v>
      </c>
      <c r="Z142" s="9">
        <f t="shared" si="123"/>
        <v>0</v>
      </c>
    </row>
    <row r="143" spans="2:26" hidden="1" x14ac:dyDescent="0.3">
      <c r="B143" s="50" t="s">
        <v>197</v>
      </c>
      <c r="C143" s="8" t="s">
        <v>118</v>
      </c>
      <c r="D143" s="9">
        <v>0</v>
      </c>
      <c r="E143" s="9">
        <v>0</v>
      </c>
      <c r="F143" s="9">
        <v>-1464.2719999999999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/>
      <c r="N143" s="9"/>
      <c r="P143" s="9">
        <f t="shared" ref="P143:R144" si="129">IFERROR(D143/O$70*1000,0)</f>
        <v>0</v>
      </c>
      <c r="Q143" s="9">
        <f t="shared" si="129"/>
        <v>0</v>
      </c>
      <c r="R143" s="9">
        <f t="shared" si="129"/>
        <v>-4724.982252339465</v>
      </c>
      <c r="S143" s="9">
        <f t="shared" ref="S143:W144" si="130">IFERROR(G143/S$70*1000,0)</f>
        <v>0</v>
      </c>
      <c r="T143" s="9">
        <f t="shared" si="130"/>
        <v>0</v>
      </c>
      <c r="U143" s="9">
        <f t="shared" si="130"/>
        <v>0</v>
      </c>
      <c r="V143" s="9">
        <f t="shared" si="130"/>
        <v>0</v>
      </c>
      <c r="W143" s="9">
        <f t="shared" si="130"/>
        <v>0</v>
      </c>
      <c r="X143" s="9">
        <f t="shared" si="121"/>
        <v>0</v>
      </c>
      <c r="Y143" s="9">
        <f t="shared" si="122"/>
        <v>0</v>
      </c>
      <c r="Z143" s="9">
        <f t="shared" si="123"/>
        <v>0</v>
      </c>
    </row>
    <row r="144" spans="2:26" hidden="1" x14ac:dyDescent="0.3">
      <c r="B144" s="50" t="s">
        <v>198</v>
      </c>
      <c r="C144" s="8" t="s">
        <v>306</v>
      </c>
      <c r="D144" s="9">
        <v>0</v>
      </c>
      <c r="E144" s="9">
        <v>0</v>
      </c>
      <c r="F144" s="9">
        <v>0</v>
      </c>
      <c r="G144" s="9">
        <v>42.295999999999999</v>
      </c>
      <c r="H144" s="9">
        <v>41.444000000000003</v>
      </c>
      <c r="I144" s="9">
        <v>8.9499999999999993</v>
      </c>
      <c r="J144" s="9">
        <v>1.65</v>
      </c>
      <c r="K144" s="9">
        <v>101.292</v>
      </c>
      <c r="L144" s="9">
        <v>261.27499999999998</v>
      </c>
      <c r="M144" s="9"/>
      <c r="N144" s="9"/>
      <c r="P144" s="9">
        <f t="shared" si="129"/>
        <v>0</v>
      </c>
      <c r="Q144" s="9">
        <f t="shared" si="129"/>
        <v>0</v>
      </c>
      <c r="R144" s="9">
        <f t="shared" si="129"/>
        <v>0</v>
      </c>
      <c r="S144" s="9">
        <f t="shared" si="130"/>
        <v>135.79913953637706</v>
      </c>
      <c r="T144" s="9">
        <f t="shared" si="130"/>
        <v>129.97146172421364</v>
      </c>
      <c r="U144" s="9">
        <f t="shared" si="130"/>
        <v>27.508836637467336</v>
      </c>
      <c r="V144" s="9">
        <f t="shared" si="130"/>
        <v>4.6985790357946291</v>
      </c>
      <c r="W144" s="9">
        <f t="shared" si="130"/>
        <v>288.44149557194521</v>
      </c>
      <c r="X144" s="9">
        <f t="shared" si="121"/>
        <v>728.75990181858754</v>
      </c>
      <c r="Y144" s="9">
        <f t="shared" si="122"/>
        <v>0</v>
      </c>
      <c r="Z144" s="9">
        <f t="shared" si="123"/>
        <v>0</v>
      </c>
    </row>
    <row r="145" spans="2:26" hidden="1" x14ac:dyDescent="0.3">
      <c r="B145" s="50" t="s">
        <v>341</v>
      </c>
      <c r="C145" s="8" t="s">
        <v>416</v>
      </c>
      <c r="D145" s="9"/>
      <c r="E145" s="9"/>
      <c r="F145" s="9"/>
      <c r="G145" s="9"/>
      <c r="H145" s="9"/>
      <c r="I145" s="9">
        <v>46.853999999999999</v>
      </c>
      <c r="J145" s="9">
        <v>175.07300000000001</v>
      </c>
      <c r="K145" s="9">
        <v>191.78611541481135</v>
      </c>
      <c r="L145" s="9">
        <v>197.35599999999999</v>
      </c>
      <c r="M145" s="9"/>
      <c r="N145" s="9"/>
      <c r="P145" s="9"/>
      <c r="Q145" s="9"/>
      <c r="R145" s="9"/>
      <c r="S145" s="9"/>
      <c r="T145" s="9">
        <f t="shared" ref="T145:T147" si="131">IFERROR(H145/T$70*1000,0)</f>
        <v>0</v>
      </c>
      <c r="U145" s="9">
        <f t="shared" ref="U145:U147" si="132">IFERROR(I145/U$70*1000,0)</f>
        <v>144.01106500691563</v>
      </c>
      <c r="V145" s="9">
        <f t="shared" ref="V145:V147" si="133">IFERROR(J145/V$70*1000,0)</f>
        <v>498.54201668707464</v>
      </c>
      <c r="W145" s="9">
        <f t="shared" ref="W145:W147" si="134">IFERROR(K145/W$70*1000,0)</f>
        <v>546.13467954213445</v>
      </c>
      <c r="X145" s="9">
        <f t="shared" si="121"/>
        <v>550.47417159433235</v>
      </c>
      <c r="Y145" s="9">
        <f t="shared" si="122"/>
        <v>0</v>
      </c>
      <c r="Z145" s="9">
        <f t="shared" si="123"/>
        <v>0</v>
      </c>
    </row>
    <row r="146" spans="2:26" hidden="1" x14ac:dyDescent="0.3">
      <c r="B146" s="50" t="s">
        <v>216</v>
      </c>
      <c r="C146" s="8" t="s">
        <v>417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P146" s="9"/>
      <c r="Q146" s="9"/>
      <c r="R146" s="9"/>
      <c r="S146" s="9"/>
      <c r="T146" s="9">
        <f t="shared" si="131"/>
        <v>0</v>
      </c>
      <c r="U146" s="9">
        <f t="shared" si="132"/>
        <v>0</v>
      </c>
      <c r="V146" s="9">
        <f t="shared" si="133"/>
        <v>0</v>
      </c>
      <c r="W146" s="9">
        <f t="shared" si="134"/>
        <v>0</v>
      </c>
      <c r="X146" s="9">
        <f t="shared" si="121"/>
        <v>0</v>
      </c>
      <c r="Y146" s="9">
        <f t="shared" si="122"/>
        <v>0</v>
      </c>
      <c r="Z146" s="9">
        <f t="shared" si="123"/>
        <v>0</v>
      </c>
    </row>
    <row r="147" spans="2:26" hidden="1" x14ac:dyDescent="0.3">
      <c r="B147" s="50" t="s">
        <v>220</v>
      </c>
      <c r="C147" s="8" t="s">
        <v>418</v>
      </c>
      <c r="D147" s="9"/>
      <c r="E147" s="9"/>
      <c r="F147" s="9"/>
      <c r="G147" s="9"/>
      <c r="H147" s="9"/>
      <c r="I147" s="9">
        <v>-228.96025</v>
      </c>
      <c r="J147" s="9">
        <v>-435.83447100000001</v>
      </c>
      <c r="K147" s="9">
        <v>-883.66</v>
      </c>
      <c r="L147" s="9">
        <v>-1214.818</v>
      </c>
      <c r="M147" s="9"/>
      <c r="N147" s="9"/>
      <c r="P147" s="9"/>
      <c r="Q147" s="9"/>
      <c r="R147" s="9"/>
      <c r="S147" s="9"/>
      <c r="T147" s="9">
        <f t="shared" si="131"/>
        <v>0</v>
      </c>
      <c r="U147" s="9">
        <f t="shared" si="132"/>
        <v>-703.7352082372829</v>
      </c>
      <c r="V147" s="9">
        <f t="shared" si="133"/>
        <v>-1241.0925506165104</v>
      </c>
      <c r="W147" s="9">
        <f t="shared" si="134"/>
        <v>-2516.3311216789584</v>
      </c>
      <c r="X147" s="9">
        <f t="shared" si="121"/>
        <v>-3388.4246346089481</v>
      </c>
      <c r="Y147" s="9">
        <f t="shared" si="122"/>
        <v>0</v>
      </c>
      <c r="Z147" s="9">
        <f t="shared" si="123"/>
        <v>0</v>
      </c>
    </row>
    <row r="148" spans="2:26" hidden="1" x14ac:dyDescent="0.3">
      <c r="B148" s="52"/>
      <c r="C148" s="6"/>
      <c r="D148" s="13">
        <f t="shared" ref="D148:K148" si="135">SUM(D132:D147)</f>
        <v>829.94999999999982</v>
      </c>
      <c r="E148" s="13">
        <f t="shared" si="135"/>
        <v>659.452</v>
      </c>
      <c r="F148" s="13">
        <f t="shared" si="135"/>
        <v>1368.4949999999999</v>
      </c>
      <c r="G148" s="13">
        <f t="shared" si="135"/>
        <v>2035.5139999999997</v>
      </c>
      <c r="H148" s="13">
        <f t="shared" si="135"/>
        <v>1130.9289999999996</v>
      </c>
      <c r="I148" s="13">
        <f t="shared" si="135"/>
        <v>1551.9438160000002</v>
      </c>
      <c r="J148" s="13">
        <f t="shared" si="135"/>
        <v>2463.7676889999971</v>
      </c>
      <c r="K148" s="13">
        <f t="shared" si="135"/>
        <v>7600.4617684148125</v>
      </c>
      <c r="L148" s="13">
        <f t="shared" ref="L148" si="136">SUM(L132:L147)</f>
        <v>16249.164000000004</v>
      </c>
      <c r="M148" s="13"/>
      <c r="N148" s="13"/>
      <c r="P148" s="13">
        <f>SUM(P132:P147)</f>
        <v>2795.1973595581298</v>
      </c>
      <c r="Q148" s="13">
        <f t="shared" ref="Q148:S148" si="137">SUM(Q132:Q147)</f>
        <v>2136.4997084170282</v>
      </c>
      <c r="R148" s="13">
        <f t="shared" si="137"/>
        <v>4415.9244917715387</v>
      </c>
      <c r="S148" s="13">
        <f t="shared" si="137"/>
        <v>6535.3945932061897</v>
      </c>
      <c r="T148" s="13">
        <f t="shared" ref="T148:X148" si="138">SUM(T132:T147)</f>
        <v>3546.6773293191577</v>
      </c>
      <c r="U148" s="13">
        <f t="shared" si="138"/>
        <v>4770.0747379744889</v>
      </c>
      <c r="V148" s="13">
        <f t="shared" si="138"/>
        <v>7015.8831591536791</v>
      </c>
      <c r="W148" s="13">
        <f t="shared" si="138"/>
        <v>21643.254743898426</v>
      </c>
      <c r="X148" s="13">
        <f t="shared" si="138"/>
        <v>45322.894120272234</v>
      </c>
      <c r="Y148" s="13">
        <f t="shared" ref="Y148:Z148" si="139">SUM(Y132:Y147)</f>
        <v>0</v>
      </c>
      <c r="Z148" s="13">
        <f t="shared" si="139"/>
        <v>0</v>
      </c>
    </row>
    <row r="149" spans="2:26" hidden="1" x14ac:dyDescent="0.3">
      <c r="B149" s="51" t="s">
        <v>199</v>
      </c>
      <c r="C149" s="19" t="s">
        <v>200</v>
      </c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2:26" hidden="1" x14ac:dyDescent="0.3">
      <c r="B150" s="50" t="s">
        <v>201</v>
      </c>
      <c r="C150" s="8" t="s">
        <v>202</v>
      </c>
      <c r="D150" s="9">
        <v>-6.3520000000000003</v>
      </c>
      <c r="E150" s="9">
        <v>-1.615</v>
      </c>
      <c r="F150" s="9">
        <v>-15.679</v>
      </c>
      <c r="G150" s="9">
        <v>43.274999999999999</v>
      </c>
      <c r="H150" s="9">
        <v>-248.04900000000001</v>
      </c>
      <c r="I150" s="9">
        <v>90.127325999999996</v>
      </c>
      <c r="J150" s="9">
        <v>-20.021000000000001</v>
      </c>
      <c r="K150" s="9">
        <v>-230.21799999999999</v>
      </c>
      <c r="L150" s="9">
        <v>-634.15700000000004</v>
      </c>
      <c r="M150" s="9"/>
      <c r="N150" s="9"/>
      <c r="P150" s="9">
        <f>IFERROR(D150/O$70*1000,0)</f>
        <v>-21.392967802775157</v>
      </c>
      <c r="Q150" s="9">
        <f>IFERROR(E150/P$70*1000,0)</f>
        <v>-5.2322944340050537</v>
      </c>
      <c r="R150" s="9">
        <f>IFERROR(F150/Q$70*1000,0)</f>
        <v>-50.593739916101974</v>
      </c>
      <c r="S150" s="9">
        <f t="shared" ref="S150:Z150" si="140">IFERROR(G150/S$70*1000,0)</f>
        <v>138.94240030822579</v>
      </c>
      <c r="T150" s="9">
        <f t="shared" si="140"/>
        <v>-777.90008467400503</v>
      </c>
      <c r="U150" s="9">
        <f t="shared" si="140"/>
        <v>277.01652374366063</v>
      </c>
      <c r="V150" s="9">
        <f t="shared" si="140"/>
        <v>-57.012273257966228</v>
      </c>
      <c r="W150" s="9">
        <f t="shared" si="140"/>
        <v>-655.5742233106472</v>
      </c>
      <c r="X150" s="9">
        <f t="shared" si="140"/>
        <v>-1768.8190338056456</v>
      </c>
      <c r="Y150" s="9">
        <f t="shared" si="140"/>
        <v>0</v>
      </c>
      <c r="Z150" s="9">
        <f t="shared" si="140"/>
        <v>0</v>
      </c>
    </row>
    <row r="151" spans="2:26" hidden="1" x14ac:dyDescent="0.3">
      <c r="B151" s="50" t="s">
        <v>462</v>
      </c>
      <c r="C151" s="8" t="s">
        <v>463</v>
      </c>
      <c r="D151" s="9"/>
      <c r="E151" s="9"/>
      <c r="F151" s="9"/>
      <c r="G151" s="9"/>
      <c r="H151" s="9"/>
      <c r="I151" s="9"/>
      <c r="J151" s="9"/>
      <c r="K151" s="9">
        <v>-501.38799999999998</v>
      </c>
      <c r="L151" s="9">
        <v>-1552.037</v>
      </c>
      <c r="M151" s="9"/>
      <c r="N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2:26" hidden="1" x14ac:dyDescent="0.3">
      <c r="B152" s="50" t="s">
        <v>203</v>
      </c>
      <c r="C152" s="8" t="s">
        <v>204</v>
      </c>
      <c r="D152" s="9">
        <v>106.62</v>
      </c>
      <c r="E152" s="9">
        <v>-15.68</v>
      </c>
      <c r="F152" s="9">
        <v>-492.33699999999999</v>
      </c>
      <c r="G152" s="9">
        <v>-561.93299999999999</v>
      </c>
      <c r="H152" s="9">
        <v>-834.99400000000003</v>
      </c>
      <c r="I152" s="9">
        <v>-74.863758000000004</v>
      </c>
      <c r="J152" s="9">
        <v>-2268.3820000000001</v>
      </c>
      <c r="K152" s="9">
        <v>-94.582999999999998</v>
      </c>
      <c r="L152" s="9">
        <v>-6597.4589999999998</v>
      </c>
      <c r="M152" s="9"/>
      <c r="N152" s="9"/>
      <c r="P152" s="9">
        <f t="shared" ref="P152:R157" si="141">IFERROR(D152/O$70*1000,0)</f>
        <v>359.08662265930218</v>
      </c>
      <c r="Q152" s="9">
        <f t="shared" si="141"/>
        <v>-50.800233266377241</v>
      </c>
      <c r="R152" s="9">
        <f t="shared" si="141"/>
        <v>-1588.6963536624719</v>
      </c>
      <c r="S152" s="9">
        <f t="shared" ref="S152:S157" si="142">IFERROR(G152/S$70*1000,0)</f>
        <v>-1804.1899441340784</v>
      </c>
      <c r="T152" s="9">
        <f t="shared" ref="T152:Z157" si="143">IFERROR(H152/T$70*1000,0)</f>
        <v>-2618.6031925235989</v>
      </c>
      <c r="U152" s="9">
        <f t="shared" si="143"/>
        <v>-230.1022222222222</v>
      </c>
      <c r="V152" s="9">
        <f t="shared" si="143"/>
        <v>-6459.4982487114503</v>
      </c>
      <c r="W152" s="9">
        <f t="shared" si="143"/>
        <v>-269.33678845003845</v>
      </c>
      <c r="X152" s="9">
        <f t="shared" si="143"/>
        <v>-18401.927368068726</v>
      </c>
      <c r="Y152" s="9">
        <f t="shared" si="143"/>
        <v>0</v>
      </c>
      <c r="Z152" s="9">
        <f t="shared" si="143"/>
        <v>0</v>
      </c>
    </row>
    <row r="153" spans="2:26" hidden="1" x14ac:dyDescent="0.3">
      <c r="B153" s="50" t="s">
        <v>205</v>
      </c>
      <c r="C153" s="8" t="s">
        <v>206</v>
      </c>
      <c r="D153" s="9">
        <v>157.88999999999999</v>
      </c>
      <c r="E153" s="9">
        <v>-122.932</v>
      </c>
      <c r="F153" s="9">
        <v>-100.039</v>
      </c>
      <c r="G153" s="9">
        <v>197.66200000000001</v>
      </c>
      <c r="H153" s="9">
        <v>676.21600000000001</v>
      </c>
      <c r="I153" s="9">
        <v>-159.375</v>
      </c>
      <c r="J153" s="9">
        <v>0</v>
      </c>
      <c r="K153" s="9">
        <v>-1336.175</v>
      </c>
      <c r="L153" s="9">
        <v>-6831.1540000000005</v>
      </c>
      <c r="M153" s="9"/>
      <c r="N153" s="9"/>
      <c r="P153" s="9">
        <f t="shared" si="141"/>
        <v>531.75939647042969</v>
      </c>
      <c r="Q153" s="9">
        <f t="shared" si="141"/>
        <v>-398.27642065703361</v>
      </c>
      <c r="R153" s="9">
        <f t="shared" si="141"/>
        <v>-322.81058405937404</v>
      </c>
      <c r="S153" s="9">
        <f t="shared" si="142"/>
        <v>634.63045013805947</v>
      </c>
      <c r="T153" s="9">
        <f t="shared" si="143"/>
        <v>2120.6635933138896</v>
      </c>
      <c r="U153" s="9">
        <f t="shared" si="143"/>
        <v>-489.85707699400643</v>
      </c>
      <c r="V153" s="9">
        <f t="shared" si="143"/>
        <v>0</v>
      </c>
      <c r="W153" s="9">
        <f t="shared" si="143"/>
        <v>-3804.9235413047809</v>
      </c>
      <c r="X153" s="9">
        <f t="shared" si="143"/>
        <v>-19053.75990181859</v>
      </c>
      <c r="Y153" s="9">
        <f t="shared" si="143"/>
        <v>0</v>
      </c>
      <c r="Z153" s="9">
        <f t="shared" si="143"/>
        <v>0</v>
      </c>
    </row>
    <row r="154" spans="2:26" hidden="1" x14ac:dyDescent="0.3">
      <c r="B154" s="50" t="s">
        <v>207</v>
      </c>
      <c r="C154" s="8" t="s">
        <v>208</v>
      </c>
      <c r="D154" s="9">
        <v>-228.40799999999999</v>
      </c>
      <c r="E154" s="9">
        <v>80.277000000000001</v>
      </c>
      <c r="F154" s="9">
        <v>540.96299999999997</v>
      </c>
      <c r="G154" s="9">
        <v>494.005</v>
      </c>
      <c r="H154" s="9">
        <v>-275.69400000000002</v>
      </c>
      <c r="I154" s="9">
        <v>-3.689937</v>
      </c>
      <c r="J154" s="9">
        <v>158.797</v>
      </c>
      <c r="K154" s="9">
        <v>347.87521800000002</v>
      </c>
      <c r="L154" s="9">
        <v>6784.1779999999999</v>
      </c>
      <c r="M154" s="9"/>
      <c r="N154" s="9"/>
      <c r="O154" s="9"/>
      <c r="P154" s="9">
        <f t="shared" si="141"/>
        <v>-769.2577125151555</v>
      </c>
      <c r="Q154" s="9">
        <f t="shared" si="141"/>
        <v>260.08229119419423</v>
      </c>
      <c r="R154" s="9">
        <f t="shared" si="141"/>
        <v>1745.6050338818973</v>
      </c>
      <c r="S154" s="9">
        <f t="shared" si="142"/>
        <v>1586.0945225711166</v>
      </c>
      <c r="T154" s="9">
        <f t="shared" si="143"/>
        <v>-864.59685765358927</v>
      </c>
      <c r="U154" s="9">
        <f t="shared" si="143"/>
        <v>-11.34143845089903</v>
      </c>
      <c r="V154" s="9">
        <f t="shared" si="143"/>
        <v>452.19409402853319</v>
      </c>
      <c r="W154" s="9">
        <f t="shared" si="143"/>
        <v>990.61770082865849</v>
      </c>
      <c r="X154" s="9">
        <f t="shared" si="143"/>
        <v>18922.732344081222</v>
      </c>
      <c r="Y154" s="9">
        <f t="shared" si="143"/>
        <v>0</v>
      </c>
      <c r="Z154" s="9">
        <f t="shared" si="143"/>
        <v>0</v>
      </c>
    </row>
    <row r="155" spans="2:26" hidden="1" x14ac:dyDescent="0.3">
      <c r="B155" s="50" t="s">
        <v>209</v>
      </c>
      <c r="C155" s="8" t="s">
        <v>210</v>
      </c>
      <c r="D155" s="9">
        <v>0.4</v>
      </c>
      <c r="E155" s="9">
        <v>-0.4</v>
      </c>
      <c r="F155" s="9">
        <v>102.04600000000001</v>
      </c>
      <c r="G155" s="9">
        <v>-19.434999999999999</v>
      </c>
      <c r="H155" s="9">
        <v>264.399</v>
      </c>
      <c r="I155" s="9">
        <v>2234.4561630000003</v>
      </c>
      <c r="J155" s="9">
        <v>554.41399999999999</v>
      </c>
      <c r="K155" s="9"/>
      <c r="L155" s="9"/>
      <c r="M155" s="9"/>
      <c r="N155" s="9"/>
      <c r="P155" s="9">
        <f t="shared" si="141"/>
        <v>1.3471642193183349</v>
      </c>
      <c r="Q155" s="9">
        <f t="shared" si="141"/>
        <v>-1.2959243180198277</v>
      </c>
      <c r="R155" s="9">
        <f t="shared" si="141"/>
        <v>329.28686673120365</v>
      </c>
      <c r="S155" s="9">
        <f t="shared" si="142"/>
        <v>-62.399666088743338</v>
      </c>
      <c r="T155" s="9">
        <f t="shared" si="143"/>
        <v>829.17489886160502</v>
      </c>
      <c r="U155" s="9">
        <f t="shared" si="143"/>
        <v>6867.8535822959893</v>
      </c>
      <c r="V155" s="9">
        <f t="shared" si="143"/>
        <v>1578.7624227582082</v>
      </c>
      <c r="W155" s="9">
        <f t="shared" si="143"/>
        <v>0</v>
      </c>
      <c r="X155" s="9">
        <f t="shared" si="143"/>
        <v>0</v>
      </c>
      <c r="Y155" s="9">
        <f t="shared" si="143"/>
        <v>0</v>
      </c>
      <c r="Z155" s="9">
        <f t="shared" si="143"/>
        <v>0</v>
      </c>
    </row>
    <row r="156" spans="2:26" hidden="1" x14ac:dyDescent="0.3">
      <c r="B156" s="50" t="s">
        <v>211</v>
      </c>
      <c r="C156" s="8" t="s">
        <v>212</v>
      </c>
      <c r="D156" s="9">
        <v>32.682000000000002</v>
      </c>
      <c r="E156" s="9">
        <v>82.085999999999999</v>
      </c>
      <c r="F156" s="9">
        <v>-371.80799999999999</v>
      </c>
      <c r="G156" s="9">
        <v>106.75</v>
      </c>
      <c r="H156" s="9">
        <v>532.851</v>
      </c>
      <c r="I156" s="9">
        <v>-274.87127700000002</v>
      </c>
      <c r="J156" s="9">
        <v>133.233</v>
      </c>
      <c r="K156" s="9">
        <v>-451.46300000000002</v>
      </c>
      <c r="L156" s="9">
        <v>-37.511000000000003</v>
      </c>
      <c r="M156" s="9"/>
      <c r="N156" s="9"/>
      <c r="P156" s="9">
        <f t="shared" si="141"/>
        <v>110.07005253940456</v>
      </c>
      <c r="Q156" s="9">
        <f t="shared" si="141"/>
        <v>265.94310892243891</v>
      </c>
      <c r="R156" s="9">
        <f t="shared" si="141"/>
        <v>-1199.7676669893515</v>
      </c>
      <c r="S156" s="9">
        <f t="shared" si="142"/>
        <v>342.74064085275802</v>
      </c>
      <c r="T156" s="9">
        <f t="shared" si="143"/>
        <v>1671.0603067080626</v>
      </c>
      <c r="U156" s="9">
        <f t="shared" si="143"/>
        <v>-844.84793914246188</v>
      </c>
      <c r="V156" s="9">
        <f t="shared" si="143"/>
        <v>379.39744283395504</v>
      </c>
      <c r="W156" s="9">
        <f t="shared" si="143"/>
        <v>-1285.5967195375461</v>
      </c>
      <c r="X156" s="9">
        <f t="shared" si="143"/>
        <v>-104.62735691174831</v>
      </c>
      <c r="Y156" s="9">
        <f t="shared" si="143"/>
        <v>0</v>
      </c>
      <c r="Z156" s="9">
        <f t="shared" si="143"/>
        <v>0</v>
      </c>
    </row>
    <row r="157" spans="2:26" hidden="1" x14ac:dyDescent="0.3">
      <c r="B157" s="51" t="s">
        <v>213</v>
      </c>
      <c r="C157" s="19" t="s">
        <v>200</v>
      </c>
      <c r="D157" s="9">
        <v>62.832000000000001</v>
      </c>
      <c r="E157" s="9">
        <v>21.736000000000001</v>
      </c>
      <c r="F157" s="9">
        <v>-336.85399999999998</v>
      </c>
      <c r="G157" s="9">
        <f t="shared" ref="G157:L157" si="144">SUM(G150:G156)</f>
        <v>260.32400000000001</v>
      </c>
      <c r="H157" s="9">
        <f t="shared" si="144"/>
        <v>114.72899999999981</v>
      </c>
      <c r="I157" s="9">
        <f t="shared" si="144"/>
        <v>1811.7835170000005</v>
      </c>
      <c r="J157" s="9">
        <f t="shared" si="144"/>
        <v>-1441.9590000000003</v>
      </c>
      <c r="K157" s="9">
        <f t="shared" si="144"/>
        <v>-2265.9517820000001</v>
      </c>
      <c r="L157" s="9">
        <f t="shared" si="144"/>
        <v>-8868.1400000000012</v>
      </c>
      <c r="M157" s="9"/>
      <c r="N157" s="9"/>
      <c r="P157" s="9">
        <f t="shared" si="141"/>
        <v>211.61255557052402</v>
      </c>
      <c r="Q157" s="9">
        <f t="shared" si="141"/>
        <v>70.420527441197436</v>
      </c>
      <c r="R157" s="9">
        <f t="shared" si="141"/>
        <v>-1086.9764440141983</v>
      </c>
      <c r="S157" s="9">
        <f t="shared" si="142"/>
        <v>835.81840364733841</v>
      </c>
      <c r="T157" s="9">
        <f t="shared" si="143"/>
        <v>359.79866403236372</v>
      </c>
      <c r="U157" s="9">
        <f t="shared" si="143"/>
        <v>5568.7214292300614</v>
      </c>
      <c r="V157" s="9">
        <f t="shared" si="143"/>
        <v>-4106.1565623487204</v>
      </c>
      <c r="W157" s="9">
        <f t="shared" si="143"/>
        <v>-6452.5779024404137</v>
      </c>
      <c r="X157" s="9">
        <f t="shared" si="143"/>
        <v>-24735.412250362606</v>
      </c>
      <c r="Y157" s="9">
        <f t="shared" si="143"/>
        <v>0</v>
      </c>
      <c r="Z157" s="9">
        <f t="shared" si="143"/>
        <v>0</v>
      </c>
    </row>
    <row r="158" spans="2:26" hidden="1" x14ac:dyDescent="0.3">
      <c r="B158" s="54"/>
      <c r="C158" s="55"/>
      <c r="D158" s="56">
        <f t="shared" ref="D158:F158" si="145">+D157+D148</f>
        <v>892.78199999999981</v>
      </c>
      <c r="E158" s="56">
        <f t="shared" si="145"/>
        <v>681.18799999999999</v>
      </c>
      <c r="F158" s="56">
        <f t="shared" si="145"/>
        <v>1031.6409999999998</v>
      </c>
      <c r="G158" s="56">
        <f t="shared" ref="G158:L158" si="146">+G157+G148</f>
        <v>2295.8379999999997</v>
      </c>
      <c r="H158" s="56">
        <f t="shared" si="146"/>
        <v>1245.6579999999994</v>
      </c>
      <c r="I158" s="56">
        <f t="shared" si="146"/>
        <v>3363.7273330000007</v>
      </c>
      <c r="J158" s="56">
        <f t="shared" si="146"/>
        <v>1021.8086889999968</v>
      </c>
      <c r="K158" s="56">
        <f t="shared" si="146"/>
        <v>5334.5099864148124</v>
      </c>
      <c r="L158" s="56">
        <f t="shared" si="146"/>
        <v>7381.0240000000031</v>
      </c>
      <c r="M158" s="56"/>
      <c r="N158" s="56"/>
      <c r="P158" s="56">
        <f t="shared" ref="P158" si="147">+P157+P148</f>
        <v>3006.8099151286538</v>
      </c>
      <c r="Q158" s="56">
        <f t="shared" ref="Q158" si="148">+Q157+Q148</f>
        <v>2206.9202358582256</v>
      </c>
      <c r="R158" s="56">
        <f t="shared" ref="R158" si="149">+R157+R148</f>
        <v>3328.9480477573406</v>
      </c>
      <c r="S158" s="56">
        <f>+S157+S148</f>
        <v>7371.2129968535282</v>
      </c>
      <c r="T158" s="56">
        <f t="shared" ref="T158:X158" si="150">+T157+T148</f>
        <v>3906.4759933515215</v>
      </c>
      <c r="U158" s="56">
        <f t="shared" si="150"/>
        <v>10338.796167204549</v>
      </c>
      <c r="V158" s="56">
        <f t="shared" si="150"/>
        <v>2909.7265968049587</v>
      </c>
      <c r="W158" s="56">
        <f t="shared" si="150"/>
        <v>15190.676841458011</v>
      </c>
      <c r="X158" s="56">
        <f t="shared" si="150"/>
        <v>20587.481869909629</v>
      </c>
      <c r="Y158" s="56">
        <f t="shared" ref="Y158:Z158" si="151">+Y157+Y148</f>
        <v>0</v>
      </c>
      <c r="Z158" s="56">
        <f t="shared" si="151"/>
        <v>0</v>
      </c>
    </row>
    <row r="159" spans="2:26" hidden="1" x14ac:dyDescent="0.3">
      <c r="B159" s="50" t="s">
        <v>214</v>
      </c>
      <c r="C159" s="8" t="s">
        <v>215</v>
      </c>
      <c r="D159" s="9">
        <v>46.523000000000003</v>
      </c>
      <c r="E159" s="9">
        <v>19.047999999999998</v>
      </c>
      <c r="F159" s="9">
        <v>-21.923999999999999</v>
      </c>
      <c r="G159" s="9">
        <v>-38.972000000000001</v>
      </c>
      <c r="H159" s="9">
        <v>-50.362000000000002</v>
      </c>
      <c r="I159" s="9"/>
      <c r="J159" s="9"/>
      <c r="K159" s="9"/>
      <c r="L159" s="9"/>
      <c r="M159" s="9"/>
      <c r="N159" s="9"/>
      <c r="P159" s="9">
        <f t="shared" ref="P159:R160" si="152">IFERROR(D159/O$70*1000,0)</f>
        <v>156.68530243836722</v>
      </c>
      <c r="Q159" s="9">
        <f t="shared" si="152"/>
        <v>61.711916024104184</v>
      </c>
      <c r="R159" s="9">
        <f t="shared" si="152"/>
        <v>-70.745401742497577</v>
      </c>
      <c r="S159" s="9">
        <f t="shared" ref="S159:Z160" si="153">IFERROR(G159/S$70*1000,0)</f>
        <v>-125.12682206382844</v>
      </c>
      <c r="T159" s="9">
        <f t="shared" si="153"/>
        <v>-157.93897199485684</v>
      </c>
      <c r="U159" s="9">
        <f t="shared" si="153"/>
        <v>0</v>
      </c>
      <c r="V159" s="9">
        <f t="shared" si="153"/>
        <v>0</v>
      </c>
      <c r="W159" s="9">
        <f t="shared" si="153"/>
        <v>0</v>
      </c>
      <c r="X159" s="9">
        <f t="shared" si="153"/>
        <v>0</v>
      </c>
      <c r="Y159" s="9">
        <f t="shared" si="153"/>
        <v>0</v>
      </c>
      <c r="Z159" s="9">
        <f t="shared" si="153"/>
        <v>0</v>
      </c>
    </row>
    <row r="160" spans="2:26" hidden="1" x14ac:dyDescent="0.3">
      <c r="B160" s="50" t="s">
        <v>216</v>
      </c>
      <c r="C160" s="8" t="s">
        <v>217</v>
      </c>
      <c r="D160" s="9">
        <v>-297.10700000000003</v>
      </c>
      <c r="E160" s="9">
        <v>-371.94900000000001</v>
      </c>
      <c r="F160" s="9">
        <v>-312.12599999999998</v>
      </c>
      <c r="G160" s="9">
        <v>-233.69399999999999</v>
      </c>
      <c r="H160" s="9">
        <v>-231.95</v>
      </c>
      <c r="I160" s="9"/>
      <c r="J160" s="9"/>
      <c r="K160" s="9"/>
      <c r="L160" s="9"/>
      <c r="M160" s="9"/>
      <c r="N160" s="9"/>
      <c r="P160" s="9">
        <f t="shared" si="152"/>
        <v>-1000.6297992725313</v>
      </c>
      <c r="Q160" s="9">
        <f t="shared" si="152"/>
        <v>-1205.0443854078922</v>
      </c>
      <c r="R160" s="9">
        <f t="shared" si="152"/>
        <v>-1007.1829622458856</v>
      </c>
      <c r="S160" s="9">
        <f t="shared" si="153"/>
        <v>-750.31785783086116</v>
      </c>
      <c r="T160" s="9">
        <f t="shared" si="153"/>
        <v>-727.41242512622694</v>
      </c>
      <c r="U160" s="9">
        <f t="shared" si="153"/>
        <v>0</v>
      </c>
      <c r="V160" s="9">
        <f t="shared" si="153"/>
        <v>0</v>
      </c>
      <c r="W160" s="9">
        <f t="shared" si="153"/>
        <v>0</v>
      </c>
      <c r="X160" s="9">
        <f t="shared" si="153"/>
        <v>0</v>
      </c>
      <c r="Y160" s="9">
        <f t="shared" si="153"/>
        <v>0</v>
      </c>
      <c r="Z160" s="9">
        <f t="shared" si="153"/>
        <v>0</v>
      </c>
    </row>
    <row r="161" spans="2:26" hidden="1" x14ac:dyDescent="0.3">
      <c r="B161" s="57" t="s">
        <v>218</v>
      </c>
      <c r="C161" s="58" t="s">
        <v>219</v>
      </c>
      <c r="D161" s="56">
        <f t="shared" ref="D161:F161" si="154">+D158+D159+D160</f>
        <v>642.19799999999987</v>
      </c>
      <c r="E161" s="56">
        <f t="shared" si="154"/>
        <v>328.28699999999998</v>
      </c>
      <c r="F161" s="56">
        <f t="shared" si="154"/>
        <v>697.59099999999989</v>
      </c>
      <c r="G161" s="56">
        <f t="shared" ref="G161:L161" si="155">+G158+G159+G160</f>
        <v>2023.1719999999996</v>
      </c>
      <c r="H161" s="56">
        <f t="shared" si="155"/>
        <v>963.34599999999932</v>
      </c>
      <c r="I161" s="56">
        <f t="shared" si="155"/>
        <v>3363.7273330000007</v>
      </c>
      <c r="J161" s="56">
        <f t="shared" si="155"/>
        <v>1021.8086889999968</v>
      </c>
      <c r="K161" s="56">
        <f t="shared" si="155"/>
        <v>5334.5099864148124</v>
      </c>
      <c r="L161" s="56">
        <f t="shared" si="155"/>
        <v>7381.0240000000031</v>
      </c>
      <c r="M161" s="56"/>
      <c r="N161" s="56"/>
      <c r="P161" s="56">
        <f t="shared" ref="P161" si="156">+P158+P159+P160</f>
        <v>2162.8654182944897</v>
      </c>
      <c r="Q161" s="56">
        <f t="shared" ref="Q161" si="157">+Q158+Q159+Q160</f>
        <v>1063.5877664744376</v>
      </c>
      <c r="R161" s="56">
        <f t="shared" ref="R161" si="158">+R158+R159+R160</f>
        <v>2251.0196837689573</v>
      </c>
      <c r="S161" s="56">
        <f>+S158+S159+S160</f>
        <v>6495.7683169588381</v>
      </c>
      <c r="T161" s="56">
        <f t="shared" ref="T161:X161" si="159">+T158+T159+T160</f>
        <v>3021.1245962304379</v>
      </c>
      <c r="U161" s="56">
        <f t="shared" si="159"/>
        <v>10338.796167204549</v>
      </c>
      <c r="V161" s="56">
        <f t="shared" si="159"/>
        <v>2909.7265968049587</v>
      </c>
      <c r="W161" s="56">
        <f t="shared" si="159"/>
        <v>15190.676841458011</v>
      </c>
      <c r="X161" s="56">
        <f t="shared" si="159"/>
        <v>20587.481869909629</v>
      </c>
      <c r="Y161" s="56">
        <f t="shared" ref="Y161:Z161" si="160">+Y158+Y159+Y160</f>
        <v>0</v>
      </c>
      <c r="Z161" s="56">
        <f t="shared" si="160"/>
        <v>0</v>
      </c>
    </row>
    <row r="162" spans="2:26" hidden="1" x14ac:dyDescent="0.3">
      <c r="B162" s="54" t="s">
        <v>220</v>
      </c>
      <c r="C162" s="55" t="s">
        <v>221</v>
      </c>
      <c r="D162" s="9">
        <v>-6.6139999999999999</v>
      </c>
      <c r="E162" s="9">
        <v>-9.266</v>
      </c>
      <c r="F162" s="9">
        <v>-36.585999999999999</v>
      </c>
      <c r="G162" s="9">
        <v>-115.673</v>
      </c>
      <c r="H162" s="9">
        <v>-86.578000000000003</v>
      </c>
      <c r="I162" s="9"/>
      <c r="J162" s="9"/>
      <c r="K162" s="9"/>
      <c r="L162" s="9"/>
      <c r="M162" s="9"/>
      <c r="N162" s="9"/>
      <c r="P162" s="9">
        <f>IFERROR(D162/O$70*1000,0)</f>
        <v>-22.275360366428668</v>
      </c>
      <c r="Q162" s="9">
        <f>IFERROR(E162/P$70*1000,0)</f>
        <v>-30.020086826929305</v>
      </c>
      <c r="R162" s="9">
        <f>IFERROR(F162/Q$70*1000,0)</f>
        <v>-118.05743788318813</v>
      </c>
      <c r="S162" s="9">
        <f t="shared" ref="S162:Z162" si="161">IFERROR(G162/S$70*1000,0)</f>
        <v>-371.38958453734028</v>
      </c>
      <c r="T162" s="9">
        <f t="shared" si="161"/>
        <v>-271.51503747608746</v>
      </c>
      <c r="U162" s="9">
        <f t="shared" si="161"/>
        <v>0</v>
      </c>
      <c r="V162" s="9">
        <f t="shared" si="161"/>
        <v>0</v>
      </c>
      <c r="W162" s="9">
        <f t="shared" si="161"/>
        <v>0</v>
      </c>
      <c r="X162" s="9">
        <f t="shared" si="161"/>
        <v>0</v>
      </c>
      <c r="Y162" s="9">
        <f t="shared" si="161"/>
        <v>0</v>
      </c>
      <c r="Z162" s="9">
        <f t="shared" si="161"/>
        <v>0</v>
      </c>
    </row>
    <row r="163" spans="2:26" hidden="1" x14ac:dyDescent="0.3">
      <c r="B163" s="52" t="s">
        <v>222</v>
      </c>
      <c r="C163" s="6" t="s">
        <v>223</v>
      </c>
      <c r="D163" s="13">
        <f t="shared" ref="D163:F163" si="162">+D161+D162</f>
        <v>635.58399999999983</v>
      </c>
      <c r="E163" s="13">
        <f t="shared" si="162"/>
        <v>319.02099999999996</v>
      </c>
      <c r="F163" s="13">
        <f t="shared" si="162"/>
        <v>661.00499999999988</v>
      </c>
      <c r="G163" s="13">
        <f t="shared" ref="G163:L163" si="163">+G161+G162</f>
        <v>1907.4989999999996</v>
      </c>
      <c r="H163" s="13">
        <f t="shared" si="163"/>
        <v>876.76799999999935</v>
      </c>
      <c r="I163" s="13">
        <f t="shared" si="163"/>
        <v>3363.7273330000007</v>
      </c>
      <c r="J163" s="13">
        <f t="shared" si="163"/>
        <v>1021.8086889999968</v>
      </c>
      <c r="K163" s="13">
        <f t="shared" si="163"/>
        <v>5334.5099864148124</v>
      </c>
      <c r="L163" s="13">
        <f t="shared" si="163"/>
        <v>7381.0240000000031</v>
      </c>
      <c r="M163" s="13"/>
      <c r="N163" s="13"/>
      <c r="P163" s="13">
        <f t="shared" ref="P163" si="164">+P161+P162</f>
        <v>2140.590057928061</v>
      </c>
      <c r="Q163" s="13">
        <f t="shared" ref="Q163" si="165">+Q161+Q162</f>
        <v>1033.5676796475082</v>
      </c>
      <c r="R163" s="13">
        <f t="shared" ref="R163" si="166">+R161+R162</f>
        <v>2132.9622458857693</v>
      </c>
      <c r="S163" s="13">
        <f>+S161+S162</f>
        <v>6124.3787324214982</v>
      </c>
      <c r="T163" s="13">
        <f t="shared" ref="T163:X163" si="167">+T161+T162</f>
        <v>2749.6095587543505</v>
      </c>
      <c r="U163" s="13">
        <f t="shared" si="167"/>
        <v>10338.796167204549</v>
      </c>
      <c r="V163" s="13">
        <f t="shared" si="167"/>
        <v>2909.7265968049587</v>
      </c>
      <c r="W163" s="13">
        <f t="shared" si="167"/>
        <v>15190.676841458011</v>
      </c>
      <c r="X163" s="13">
        <f t="shared" si="167"/>
        <v>20587.481869909629</v>
      </c>
      <c r="Y163" s="13">
        <f t="shared" ref="Y163:Z163" si="168">+Y161+Y162</f>
        <v>0</v>
      </c>
      <c r="Z163" s="13">
        <f t="shared" si="168"/>
        <v>0</v>
      </c>
    </row>
    <row r="164" spans="2:26" hidden="1" x14ac:dyDescent="0.3">
      <c r="B164" s="50" t="s">
        <v>224</v>
      </c>
      <c r="C164" s="8" t="s">
        <v>225</v>
      </c>
      <c r="D164" s="9">
        <v>37.470999999999997</v>
      </c>
      <c r="E164" s="9">
        <v>25.259</v>
      </c>
      <c r="F164" s="9">
        <v>36.619999999999997</v>
      </c>
      <c r="G164" s="9">
        <v>7.6289999999999996</v>
      </c>
      <c r="H164" s="9">
        <v>22.95</v>
      </c>
      <c r="I164" s="9">
        <v>8.2543279999999992</v>
      </c>
      <c r="J164" s="9">
        <v>20.228093000000001</v>
      </c>
      <c r="K164" s="9">
        <v>15.446</v>
      </c>
      <c r="L164" s="9">
        <v>41.354999999999997</v>
      </c>
      <c r="M164" s="9"/>
      <c r="N164" s="9"/>
      <c r="P164" s="9">
        <f t="shared" ref="P164:R167" si="169">IFERROR(D164/O$70*1000,0)</f>
        <v>126.19897615519329</v>
      </c>
      <c r="Q164" s="9">
        <f t="shared" si="169"/>
        <v>81.83438087215707</v>
      </c>
      <c r="R164" s="9">
        <f t="shared" si="169"/>
        <v>118.16715069377219</v>
      </c>
      <c r="S164" s="9">
        <f t="shared" ref="S164:S170" si="170">IFERROR(G164/S$70*1000,0)</f>
        <v>24.49431708726642</v>
      </c>
      <c r="T164" s="9">
        <f t="shared" ref="T164:Z167" si="171">IFERROR(H164/T$70*1000,0)</f>
        <v>71.972904318374262</v>
      </c>
      <c r="U164" s="9">
        <f t="shared" si="171"/>
        <v>25.370610112186874</v>
      </c>
      <c r="V164" s="9">
        <f t="shared" si="171"/>
        <v>57.601996184184301</v>
      </c>
      <c r="W164" s="9">
        <f t="shared" si="171"/>
        <v>43.984395022353844</v>
      </c>
      <c r="X164" s="9">
        <f t="shared" si="171"/>
        <v>115.34921343300233</v>
      </c>
      <c r="Y164" s="9">
        <f t="shared" si="171"/>
        <v>0</v>
      </c>
      <c r="Z164" s="9">
        <f t="shared" si="171"/>
        <v>0</v>
      </c>
    </row>
    <row r="165" spans="2:26" hidden="1" x14ac:dyDescent="0.3">
      <c r="B165" s="50" t="s">
        <v>226</v>
      </c>
      <c r="C165" s="8" t="s">
        <v>227</v>
      </c>
      <c r="D165" s="9">
        <v>-139.74700000000001</v>
      </c>
      <c r="E165" s="9">
        <v>-181.18899999999999</v>
      </c>
      <c r="F165" s="9">
        <v>-206.37</v>
      </c>
      <c r="G165" s="9">
        <v>-151.86500000000001</v>
      </c>
      <c r="H165" s="9">
        <v>-1529.6179999999999</v>
      </c>
      <c r="I165" s="9">
        <v>-6422.3345640000007</v>
      </c>
      <c r="J165" s="9">
        <v>-10061.722758</v>
      </c>
      <c r="K165" s="9">
        <v>-5631.1510979423483</v>
      </c>
      <c r="L165" s="9">
        <v>-3534.7660000000001</v>
      </c>
      <c r="M165" s="9"/>
      <c r="N165" s="9"/>
      <c r="P165" s="9">
        <f t="shared" si="169"/>
        <v>-470.65539539269838</v>
      </c>
      <c r="Q165" s="9">
        <f t="shared" si="169"/>
        <v>-587.01807814423637</v>
      </c>
      <c r="R165" s="9">
        <f t="shared" si="169"/>
        <v>-665.92449177153924</v>
      </c>
      <c r="S165" s="9">
        <f t="shared" si="170"/>
        <v>-487.5907018557761</v>
      </c>
      <c r="T165" s="9">
        <f t="shared" si="171"/>
        <v>-4796.9956408567759</v>
      </c>
      <c r="U165" s="9">
        <f t="shared" si="171"/>
        <v>-19739.771212540341</v>
      </c>
      <c r="V165" s="9">
        <f t="shared" si="171"/>
        <v>-28651.999766494857</v>
      </c>
      <c r="W165" s="9">
        <f t="shared" si="171"/>
        <v>-16035.399088596258</v>
      </c>
      <c r="X165" s="9">
        <f t="shared" si="171"/>
        <v>-9859.3272341849824</v>
      </c>
      <c r="Y165" s="9">
        <f t="shared" si="171"/>
        <v>0</v>
      </c>
      <c r="Z165" s="9">
        <f t="shared" si="171"/>
        <v>0</v>
      </c>
    </row>
    <row r="166" spans="2:26" hidden="1" x14ac:dyDescent="0.3">
      <c r="B166" s="50" t="s">
        <v>228</v>
      </c>
      <c r="C166" s="8" t="s">
        <v>229</v>
      </c>
      <c r="D166" s="9">
        <v>-97.2</v>
      </c>
      <c r="E166" s="9">
        <v>0</v>
      </c>
      <c r="F166" s="9">
        <v>696.77599999999995</v>
      </c>
      <c r="G166" s="9">
        <v>0</v>
      </c>
      <c r="H166" s="11">
        <v>0</v>
      </c>
      <c r="I166" s="11">
        <v>-450.90285700000004</v>
      </c>
      <c r="J166" s="11">
        <v>-2753.1030000000001</v>
      </c>
      <c r="K166" s="11">
        <v>-2134.8918139462235</v>
      </c>
      <c r="L166" s="11">
        <v>0</v>
      </c>
      <c r="M166" s="11"/>
      <c r="N166" s="11"/>
      <c r="O166" s="12"/>
      <c r="P166" s="9">
        <f t="shared" si="169"/>
        <v>-327.36090529435535</v>
      </c>
      <c r="Q166" s="9">
        <f t="shared" si="169"/>
        <v>0</v>
      </c>
      <c r="R166" s="9">
        <f t="shared" si="169"/>
        <v>2248.3898031623103</v>
      </c>
      <c r="S166" s="9">
        <f t="shared" si="170"/>
        <v>0</v>
      </c>
      <c r="T166" s="9">
        <f t="shared" si="171"/>
        <v>0</v>
      </c>
      <c r="U166" s="9">
        <f t="shared" si="171"/>
        <v>-1385.9008974950054</v>
      </c>
      <c r="V166" s="9">
        <f t="shared" si="171"/>
        <v>-7839.8012358686674</v>
      </c>
      <c r="W166" s="9">
        <f t="shared" si="171"/>
        <v>-6079.3684367862388</v>
      </c>
      <c r="X166" s="9">
        <f t="shared" si="171"/>
        <v>0</v>
      </c>
      <c r="Y166" s="9">
        <f t="shared" si="171"/>
        <v>0</v>
      </c>
      <c r="Z166" s="9">
        <f t="shared" si="171"/>
        <v>0</v>
      </c>
    </row>
    <row r="167" spans="2:26" hidden="1" x14ac:dyDescent="0.3">
      <c r="B167" s="50" t="s">
        <v>230</v>
      </c>
      <c r="C167" s="8" t="s">
        <v>231</v>
      </c>
      <c r="D167" s="9">
        <v>0.72899999999999998</v>
      </c>
      <c r="E167" s="9">
        <v>29.62</v>
      </c>
      <c r="F167" s="9">
        <v>21.923999999999999</v>
      </c>
      <c r="G167" s="9">
        <v>188.74799999999999</v>
      </c>
      <c r="H167" s="9">
        <v>102.581</v>
      </c>
      <c r="I167" s="9">
        <v>1.2130000000000001</v>
      </c>
      <c r="J167" s="9">
        <v>0</v>
      </c>
      <c r="K167" s="9">
        <v>0.33900000000000002</v>
      </c>
      <c r="L167" s="9">
        <v>8.8699999999999992</v>
      </c>
      <c r="M167" s="9"/>
      <c r="N167" s="9"/>
      <c r="P167" s="9">
        <f t="shared" si="169"/>
        <v>2.4552067897076655</v>
      </c>
      <c r="Q167" s="9">
        <f t="shared" si="169"/>
        <v>95.963195749368239</v>
      </c>
      <c r="R167" s="9">
        <f t="shared" si="169"/>
        <v>70.745401742497577</v>
      </c>
      <c r="S167" s="9">
        <f t="shared" si="170"/>
        <v>606.01040261991909</v>
      </c>
      <c r="T167" s="9">
        <f t="shared" si="171"/>
        <v>321.70163389469064</v>
      </c>
      <c r="U167" s="9">
        <f t="shared" si="171"/>
        <v>3.7282926079606575</v>
      </c>
      <c r="V167" s="9">
        <f t="shared" si="171"/>
        <v>0</v>
      </c>
      <c r="W167" s="9">
        <f t="shared" si="171"/>
        <v>0.96534442008144206</v>
      </c>
      <c r="X167" s="9">
        <f t="shared" si="171"/>
        <v>24.740600245453532</v>
      </c>
      <c r="Y167" s="9">
        <f t="shared" si="171"/>
        <v>0</v>
      </c>
      <c r="Z167" s="9">
        <f t="shared" si="171"/>
        <v>0</v>
      </c>
    </row>
    <row r="168" spans="2:26" hidden="1" x14ac:dyDescent="0.3">
      <c r="B168" s="50" t="s">
        <v>422</v>
      </c>
      <c r="C168" s="8" t="s">
        <v>423</v>
      </c>
      <c r="D168" s="9"/>
      <c r="E168" s="9"/>
      <c r="F168" s="9"/>
      <c r="G168" s="9"/>
      <c r="H168" s="9"/>
      <c r="I168" s="9"/>
      <c r="J168" s="9"/>
      <c r="K168" s="9">
        <v>136.24100000000001</v>
      </c>
      <c r="L168" s="9">
        <v>128.94900000000001</v>
      </c>
      <c r="M168" s="9"/>
      <c r="N168" s="9"/>
      <c r="P168" s="9"/>
      <c r="Q168" s="9"/>
      <c r="R168" s="9"/>
      <c r="S168" s="9">
        <f t="shared" si="170"/>
        <v>0</v>
      </c>
      <c r="T168" s="9">
        <f t="shared" ref="T168" si="172">IFERROR(H168/T$70*1000,0)</f>
        <v>0</v>
      </c>
      <c r="U168" s="9">
        <f t="shared" ref="U168" si="173">IFERROR(I168/U$70*1000,0)</f>
        <v>0</v>
      </c>
      <c r="V168" s="9">
        <f t="shared" ref="V168" si="174">IFERROR(J168/V$70*1000,0)</f>
        <v>0</v>
      </c>
      <c r="W168" s="9">
        <f t="shared" ref="W168" si="175">IFERROR(K168/W$70*1000,0)</f>
        <v>387.96309479739159</v>
      </c>
      <c r="X168" s="9">
        <f t="shared" ref="X168:Z170" si="176">IFERROR(L168/X$70*1000,0)</f>
        <v>359.67031127970552</v>
      </c>
      <c r="Y168" s="9">
        <f t="shared" si="176"/>
        <v>0</v>
      </c>
      <c r="Z168" s="9">
        <f t="shared" si="176"/>
        <v>0</v>
      </c>
    </row>
    <row r="169" spans="2:26" hidden="1" x14ac:dyDescent="0.3">
      <c r="B169" s="50" t="s">
        <v>232</v>
      </c>
      <c r="C169" s="8" t="s">
        <v>233</v>
      </c>
      <c r="D169" s="9">
        <v>0</v>
      </c>
      <c r="E169" s="9">
        <v>0</v>
      </c>
      <c r="F169" s="9">
        <v>-168</v>
      </c>
      <c r="G169" s="9">
        <v>-181.03399999999999</v>
      </c>
      <c r="H169" s="11">
        <v>0</v>
      </c>
      <c r="I169" s="11">
        <v>-22.571347000000003</v>
      </c>
      <c r="J169" s="11">
        <v>25</v>
      </c>
      <c r="K169" s="11">
        <v>-47.991</v>
      </c>
      <c r="L169" s="11">
        <v>-131.39500000000001</v>
      </c>
      <c r="M169" s="11"/>
      <c r="N169" s="11"/>
      <c r="P169" s="9">
        <f t="shared" ref="P169:R170" si="177">IFERROR(D169/O$70*1000,0)</f>
        <v>0</v>
      </c>
      <c r="Q169" s="9">
        <f t="shared" si="177"/>
        <v>0</v>
      </c>
      <c r="R169" s="9">
        <f t="shared" si="177"/>
        <v>-542.11035818005814</v>
      </c>
      <c r="S169" s="9">
        <f t="shared" si="170"/>
        <v>-581.24317729403447</v>
      </c>
      <c r="T169" s="9">
        <f t="shared" ref="T169:W170" si="178">IFERROR(H169/T$70*1000,0)</f>
        <v>0</v>
      </c>
      <c r="U169" s="9">
        <f t="shared" si="178"/>
        <v>-69.375586291685892</v>
      </c>
      <c r="V169" s="9">
        <f t="shared" si="178"/>
        <v>71.190591451433775</v>
      </c>
      <c r="W169" s="9">
        <f t="shared" si="178"/>
        <v>-136.66030697383033</v>
      </c>
      <c r="X169" s="9">
        <f t="shared" si="176"/>
        <v>-366.4928037487449</v>
      </c>
      <c r="Y169" s="9">
        <f t="shared" si="176"/>
        <v>0</v>
      </c>
      <c r="Z169" s="9">
        <f t="shared" si="176"/>
        <v>0</v>
      </c>
    </row>
    <row r="170" spans="2:26" hidden="1" x14ac:dyDescent="0.3">
      <c r="B170" s="50" t="s">
        <v>234</v>
      </c>
      <c r="C170" s="8" t="s">
        <v>235</v>
      </c>
      <c r="D170" s="9">
        <v>0</v>
      </c>
      <c r="E170" s="9">
        <v>0</v>
      </c>
      <c r="F170" s="9">
        <v>162.9</v>
      </c>
      <c r="G170" s="9">
        <v>0</v>
      </c>
      <c r="H170" s="9">
        <v>0.44800000000000001</v>
      </c>
      <c r="I170" s="9">
        <v>0</v>
      </c>
      <c r="J170" s="9">
        <v>275.58199999999999</v>
      </c>
      <c r="K170" s="9"/>
      <c r="L170" s="9"/>
      <c r="M170" s="9"/>
      <c r="N170" s="9"/>
      <c r="P170" s="9">
        <f t="shared" si="177"/>
        <v>0</v>
      </c>
      <c r="Q170" s="9">
        <f t="shared" si="177"/>
        <v>0</v>
      </c>
      <c r="R170" s="9">
        <f t="shared" si="177"/>
        <v>525.65343659244922</v>
      </c>
      <c r="S170" s="9">
        <f t="shared" si="170"/>
        <v>0</v>
      </c>
      <c r="T170" s="9">
        <f t="shared" si="178"/>
        <v>1.4049612694828613</v>
      </c>
      <c r="U170" s="9">
        <f t="shared" si="178"/>
        <v>0</v>
      </c>
      <c r="V170" s="9">
        <f t="shared" si="178"/>
        <v>784.75382293476093</v>
      </c>
      <c r="W170" s="9">
        <f t="shared" si="178"/>
        <v>0</v>
      </c>
      <c r="X170" s="9">
        <f t="shared" si="176"/>
        <v>0</v>
      </c>
      <c r="Y170" s="9">
        <f t="shared" si="176"/>
        <v>0</v>
      </c>
      <c r="Z170" s="9">
        <f t="shared" si="176"/>
        <v>0</v>
      </c>
    </row>
    <row r="171" spans="2:26" hidden="1" x14ac:dyDescent="0.3">
      <c r="B171" s="52" t="s">
        <v>236</v>
      </c>
      <c r="C171" s="6" t="s">
        <v>237</v>
      </c>
      <c r="D171" s="13">
        <f t="shared" ref="D171:F171" si="179">SUM(D164:D170)</f>
        <v>-198.74699999999999</v>
      </c>
      <c r="E171" s="13">
        <f t="shared" si="179"/>
        <v>-126.31</v>
      </c>
      <c r="F171" s="13">
        <f t="shared" si="179"/>
        <v>543.84999999999991</v>
      </c>
      <c r="G171" s="13">
        <f t="shared" ref="G171:L171" si="180">SUM(G164:G170)</f>
        <v>-136.52200000000002</v>
      </c>
      <c r="H171" s="13">
        <f t="shared" si="180"/>
        <v>-1403.6389999999999</v>
      </c>
      <c r="I171" s="13">
        <f t="shared" si="180"/>
        <v>-6886.3414400000011</v>
      </c>
      <c r="J171" s="13">
        <f t="shared" si="180"/>
        <v>-12494.015665000001</v>
      </c>
      <c r="K171" s="13">
        <f t="shared" si="180"/>
        <v>-7662.0079118885715</v>
      </c>
      <c r="L171" s="13">
        <f t="shared" si="180"/>
        <v>-3486.9870000000001</v>
      </c>
      <c r="M171" s="13"/>
      <c r="N171" s="13"/>
      <c r="P171" s="13">
        <f t="shared" ref="P171" si="181">SUM(P164:P170)</f>
        <v>-669.3621177421528</v>
      </c>
      <c r="Q171" s="13">
        <f t="shared" ref="Q171" si="182">SUM(Q164:Q170)</f>
        <v>-409.22050152271106</v>
      </c>
      <c r="R171" s="13">
        <f t="shared" ref="R171" si="183">SUM(R164:R170)</f>
        <v>1754.9209422394317</v>
      </c>
      <c r="S171" s="13">
        <f>SUM(S164:S170)</f>
        <v>-438.32915944262504</v>
      </c>
      <c r="T171" s="13">
        <f t="shared" ref="T171:X171" si="184">SUM(T164:T170)</f>
        <v>-4401.9161413742286</v>
      </c>
      <c r="U171" s="13">
        <f t="shared" si="184"/>
        <v>-21165.948793606884</v>
      </c>
      <c r="V171" s="13">
        <f t="shared" si="184"/>
        <v>-35578.254591793142</v>
      </c>
      <c r="W171" s="13">
        <f t="shared" si="184"/>
        <v>-21818.514998116498</v>
      </c>
      <c r="X171" s="13">
        <f t="shared" si="184"/>
        <v>-9726.0599129755647</v>
      </c>
      <c r="Y171" s="13">
        <f t="shared" ref="Y171:Z171" si="185">SUM(Y164:Y170)</f>
        <v>0</v>
      </c>
      <c r="Z171" s="13">
        <f t="shared" si="185"/>
        <v>0</v>
      </c>
    </row>
    <row r="172" spans="2:26" hidden="1" x14ac:dyDescent="0.3">
      <c r="B172" s="50" t="s">
        <v>216</v>
      </c>
      <c r="C172" s="8" t="s">
        <v>417</v>
      </c>
      <c r="D172" s="259"/>
      <c r="E172" s="259"/>
      <c r="F172" s="259"/>
      <c r="G172" s="259"/>
      <c r="H172" s="259"/>
      <c r="I172" s="9">
        <v>-236.55679999999998</v>
      </c>
      <c r="J172" s="9">
        <v>-515.90647799999999</v>
      </c>
      <c r="K172" s="9">
        <v>-692.48561100000006</v>
      </c>
      <c r="L172" s="9">
        <v>-770.03499999999997</v>
      </c>
      <c r="M172" s="9"/>
      <c r="N172" s="9"/>
      <c r="P172" s="259"/>
      <c r="Q172" s="259"/>
      <c r="R172" s="259"/>
      <c r="S172" s="259"/>
      <c r="T172" s="9">
        <f t="shared" ref="T172" si="186">IFERROR(H172/T$70*1000,0)</f>
        <v>0</v>
      </c>
      <c r="U172" s="9">
        <f t="shared" ref="U172" si="187">IFERROR(I172/U$70*1000,0)</f>
        <v>-727.08406331642834</v>
      </c>
      <c r="V172" s="9">
        <f t="shared" ref="V172" si="188">IFERROR(J172/V$70*1000,0)</f>
        <v>-1469.1074920978442</v>
      </c>
      <c r="W172" s="9">
        <f t="shared" ref="W172" si="189">IFERROR(K172/W$70*1000,0)</f>
        <v>-1971.9384087479</v>
      </c>
      <c r="X172" s="9">
        <f t="shared" ref="X172:X181" si="190">IFERROR(L172/X$70*1000,0)</f>
        <v>-2147.816021421399</v>
      </c>
      <c r="Y172" s="9">
        <f t="shared" ref="Y172:Y181" si="191">IFERROR(M172/Y$70*1000,0)</f>
        <v>0</v>
      </c>
      <c r="Z172" s="9">
        <f t="shared" ref="Z172:Z181" si="192">IFERROR(N172/Z$70*1000,0)</f>
        <v>0</v>
      </c>
    </row>
    <row r="173" spans="2:26" hidden="1" x14ac:dyDescent="0.3">
      <c r="B173" s="50" t="s">
        <v>238</v>
      </c>
      <c r="C173" s="8" t="s">
        <v>24</v>
      </c>
      <c r="D173" s="9">
        <v>500</v>
      </c>
      <c r="E173" s="9">
        <v>43.064999999999998</v>
      </c>
      <c r="F173" s="9">
        <v>52.3</v>
      </c>
      <c r="G173" s="9">
        <v>0</v>
      </c>
      <c r="H173" s="9">
        <v>189</v>
      </c>
      <c r="I173" s="9">
        <v>3742.6226150000002</v>
      </c>
      <c r="J173" s="9">
        <v>3267.4789999999998</v>
      </c>
      <c r="K173" s="9">
        <v>-271.7</v>
      </c>
      <c r="L173" s="9">
        <v>-2361.8690000000001</v>
      </c>
      <c r="M173" s="9"/>
      <c r="N173" s="9"/>
      <c r="P173" s="9">
        <f t="shared" ref="P173:R177" si="193">IFERROR(D173/O$70*1000,0)</f>
        <v>1683.9552741479185</v>
      </c>
      <c r="Q173" s="9">
        <f t="shared" si="193"/>
        <v>139.52245188880968</v>
      </c>
      <c r="R173" s="9">
        <f t="shared" si="193"/>
        <v>168.76411745724428</v>
      </c>
      <c r="S173" s="9">
        <f t="shared" ref="S173:W177" si="194">IFERROR(G173/S$70*1000,0)</f>
        <v>0</v>
      </c>
      <c r="T173" s="9">
        <f t="shared" si="194"/>
        <v>592.71803556308214</v>
      </c>
      <c r="U173" s="9">
        <f t="shared" si="194"/>
        <v>11503.373643768249</v>
      </c>
      <c r="V173" s="9">
        <f t="shared" si="194"/>
        <v>9304.5505026055744</v>
      </c>
      <c r="W173" s="9">
        <f t="shared" si="194"/>
        <v>-773.69934789418221</v>
      </c>
      <c r="X173" s="9">
        <f t="shared" si="190"/>
        <v>-6587.8305254936968</v>
      </c>
      <c r="Y173" s="9">
        <f t="shared" si="191"/>
        <v>0</v>
      </c>
      <c r="Z173" s="9">
        <f t="shared" si="192"/>
        <v>0</v>
      </c>
    </row>
    <row r="174" spans="2:26" hidden="1" x14ac:dyDescent="0.3">
      <c r="B174" s="50" t="s">
        <v>239</v>
      </c>
      <c r="C174" s="8" t="s">
        <v>240</v>
      </c>
      <c r="D174" s="9">
        <v>-986.93600000000004</v>
      </c>
      <c r="E174" s="9">
        <v>-848.23800000000006</v>
      </c>
      <c r="F174" s="9">
        <v>-1033.777</v>
      </c>
      <c r="G174" s="9">
        <v>-719.26300000000003</v>
      </c>
      <c r="H174" s="9">
        <v>-320.14</v>
      </c>
      <c r="I174" s="9">
        <v>0</v>
      </c>
      <c r="J174" s="9"/>
      <c r="K174" s="9"/>
      <c r="L174" s="9"/>
      <c r="M174" s="9"/>
      <c r="N174" s="9"/>
      <c r="P174" s="9">
        <f t="shared" si="193"/>
        <v>-3323.9121648929004</v>
      </c>
      <c r="Q174" s="9">
        <f t="shared" si="193"/>
        <v>-2748.1306291712563</v>
      </c>
      <c r="R174" s="9">
        <f t="shared" si="193"/>
        <v>-3335.8405937399166</v>
      </c>
      <c r="S174" s="9">
        <f t="shared" si="194"/>
        <v>-2309.3270403904194</v>
      </c>
      <c r="T174" s="9">
        <f t="shared" si="194"/>
        <v>-1003.9828143130429</v>
      </c>
      <c r="U174" s="9">
        <f t="shared" si="194"/>
        <v>0</v>
      </c>
      <c r="V174" s="9">
        <f t="shared" si="194"/>
        <v>0</v>
      </c>
      <c r="W174" s="9">
        <f t="shared" si="194"/>
        <v>0</v>
      </c>
      <c r="X174" s="9">
        <f t="shared" si="190"/>
        <v>0</v>
      </c>
      <c r="Y174" s="9">
        <f t="shared" si="191"/>
        <v>0</v>
      </c>
      <c r="Z174" s="9">
        <f t="shared" si="192"/>
        <v>0</v>
      </c>
    </row>
    <row r="175" spans="2:26" hidden="1" x14ac:dyDescent="0.3">
      <c r="B175" s="50" t="s">
        <v>241</v>
      </c>
      <c r="C175" s="8" t="s">
        <v>242</v>
      </c>
      <c r="D175" s="9" t="s">
        <v>12</v>
      </c>
      <c r="E175" s="9">
        <v>2655.1289999999999</v>
      </c>
      <c r="F175" s="9" t="s">
        <v>12</v>
      </c>
      <c r="G175" s="9">
        <v>0</v>
      </c>
      <c r="H175" s="9">
        <v>2630.623</v>
      </c>
      <c r="I175" s="9">
        <v>0</v>
      </c>
      <c r="J175" s="9">
        <v>10289.245999999999</v>
      </c>
      <c r="K175" s="9">
        <v>3904.7089999999998</v>
      </c>
      <c r="L175" s="9"/>
      <c r="M175" s="9"/>
      <c r="N175" s="9"/>
      <c r="P175" s="9">
        <f t="shared" si="193"/>
        <v>0</v>
      </c>
      <c r="Q175" s="9">
        <f t="shared" si="193"/>
        <v>8602.1155964491663</v>
      </c>
      <c r="R175" s="9">
        <f t="shared" si="193"/>
        <v>0</v>
      </c>
      <c r="S175" s="9">
        <f t="shared" si="194"/>
        <v>0</v>
      </c>
      <c r="T175" s="9">
        <f t="shared" si="194"/>
        <v>8249.8290839527072</v>
      </c>
      <c r="U175" s="9">
        <f t="shared" si="194"/>
        <v>0</v>
      </c>
      <c r="V175" s="9">
        <f t="shared" si="194"/>
        <v>29299.900333171965</v>
      </c>
      <c r="W175" s="9">
        <f t="shared" si="194"/>
        <v>11119.141726229462</v>
      </c>
      <c r="X175" s="9">
        <f t="shared" si="190"/>
        <v>0</v>
      </c>
      <c r="Y175" s="9">
        <f t="shared" si="191"/>
        <v>0</v>
      </c>
      <c r="Z175" s="9">
        <f t="shared" si="192"/>
        <v>0</v>
      </c>
    </row>
    <row r="176" spans="2:26" hidden="1" x14ac:dyDescent="0.3">
      <c r="B176" s="50" t="s">
        <v>243</v>
      </c>
      <c r="C176" s="8" t="s">
        <v>244</v>
      </c>
      <c r="D176" s="9">
        <v>0</v>
      </c>
      <c r="E176" s="9">
        <v>-579.99199999999996</v>
      </c>
      <c r="F176" s="9" t="s">
        <v>12</v>
      </c>
      <c r="G176" s="9">
        <v>0</v>
      </c>
      <c r="H176" s="9">
        <v>-2636.4639999999999</v>
      </c>
      <c r="I176" s="9">
        <v>0</v>
      </c>
      <c r="J176" s="9">
        <v>-1013.026</v>
      </c>
      <c r="K176" s="9">
        <v>-2150</v>
      </c>
      <c r="L176" s="9"/>
      <c r="M176" s="9"/>
      <c r="N176" s="9"/>
      <c r="O176" s="9"/>
      <c r="P176" s="9">
        <f t="shared" si="193"/>
        <v>0</v>
      </c>
      <c r="Q176" s="9">
        <f t="shared" si="193"/>
        <v>-1879.0643426423894</v>
      </c>
      <c r="R176" s="9">
        <f t="shared" si="193"/>
        <v>0</v>
      </c>
      <c r="S176" s="9">
        <f t="shared" si="194"/>
        <v>0</v>
      </c>
      <c r="T176" s="9">
        <f t="shared" si="194"/>
        <v>-8268.1468937184436</v>
      </c>
      <c r="U176" s="9">
        <f t="shared" si="194"/>
        <v>0</v>
      </c>
      <c r="V176" s="9">
        <f t="shared" si="194"/>
        <v>-2884.7168038272057</v>
      </c>
      <c r="W176" s="9">
        <f t="shared" si="194"/>
        <v>-6122.3908648233046</v>
      </c>
      <c r="X176" s="9">
        <f t="shared" si="190"/>
        <v>0</v>
      </c>
      <c r="Y176" s="9">
        <f t="shared" si="191"/>
        <v>0</v>
      </c>
      <c r="Z176" s="9">
        <f t="shared" si="192"/>
        <v>0</v>
      </c>
    </row>
    <row r="177" spans="2:26" hidden="1" x14ac:dyDescent="0.3">
      <c r="B177" s="50" t="s">
        <v>245</v>
      </c>
      <c r="C177" s="8" t="s">
        <v>246</v>
      </c>
      <c r="D177" s="9">
        <v>0</v>
      </c>
      <c r="E177" s="9" t="s">
        <v>12</v>
      </c>
      <c r="F177" s="9">
        <v>-365.76100000000002</v>
      </c>
      <c r="G177" s="9">
        <v>1140.0909999999999</v>
      </c>
      <c r="H177" s="11">
        <v>0</v>
      </c>
      <c r="I177" s="11">
        <v>-4.0593449999999995</v>
      </c>
      <c r="J177" s="11">
        <v>-6.1260000000000003</v>
      </c>
      <c r="K177" s="11">
        <v>-30.725000000000001</v>
      </c>
      <c r="L177" s="11">
        <v>-93.382000000000005</v>
      </c>
      <c r="M177" s="11"/>
      <c r="N177" s="11"/>
      <c r="P177" s="9">
        <f t="shared" si="193"/>
        <v>0</v>
      </c>
      <c r="Q177" s="9">
        <f t="shared" si="193"/>
        <v>0</v>
      </c>
      <c r="R177" s="9">
        <f t="shared" si="193"/>
        <v>-1180.2549209422396</v>
      </c>
      <c r="S177" s="9">
        <f t="shared" si="194"/>
        <v>3660.4732549926152</v>
      </c>
      <c r="T177" s="9">
        <f t="shared" si="194"/>
        <v>0</v>
      </c>
      <c r="U177" s="9">
        <f t="shared" si="194"/>
        <v>-12.47685569386814</v>
      </c>
      <c r="V177" s="9">
        <f t="shared" si="194"/>
        <v>-17.444542529259333</v>
      </c>
      <c r="W177" s="9">
        <f t="shared" si="194"/>
        <v>-87.49323689381211</v>
      </c>
      <c r="X177" s="9">
        <f t="shared" si="190"/>
        <v>-260.46524601138015</v>
      </c>
      <c r="Y177" s="9">
        <f t="shared" si="191"/>
        <v>0</v>
      </c>
      <c r="Z177" s="9">
        <f t="shared" si="192"/>
        <v>0</v>
      </c>
    </row>
    <row r="178" spans="2:26" hidden="1" x14ac:dyDescent="0.3">
      <c r="B178" s="50" t="s">
        <v>424</v>
      </c>
      <c r="C178" s="8" t="s">
        <v>425</v>
      </c>
      <c r="D178" s="9"/>
      <c r="E178" s="9"/>
      <c r="F178" s="9"/>
      <c r="G178" s="9"/>
      <c r="H178" s="11"/>
      <c r="I178" s="11"/>
      <c r="J178" s="9">
        <v>1987.0609999999999</v>
      </c>
      <c r="K178" s="11">
        <v>129.16</v>
      </c>
      <c r="L178" s="11"/>
      <c r="M178" s="11"/>
      <c r="N178" s="11"/>
      <c r="P178" s="9"/>
      <c r="Q178" s="9"/>
      <c r="R178" s="9"/>
      <c r="S178" s="9">
        <f t="shared" ref="S178:S181" si="195">IFERROR(G178/S$70*1000,0)</f>
        <v>0</v>
      </c>
      <c r="T178" s="9">
        <f t="shared" ref="T178:T181" si="196">IFERROR(H178/T$70*1000,0)</f>
        <v>0</v>
      </c>
      <c r="U178" s="9">
        <f t="shared" ref="U178:U181" si="197">IFERROR(I178/U$70*1000,0)</f>
        <v>0</v>
      </c>
      <c r="V178" s="9">
        <f t="shared" ref="V178:V181" si="198">IFERROR(J178/V$70*1000,0)</f>
        <v>5658.4019136030975</v>
      </c>
      <c r="W178" s="9">
        <f t="shared" ref="W178:W181" si="199">IFERROR(K178/W$70*1000,0)</f>
        <v>367.79907167468747</v>
      </c>
      <c r="X178" s="9">
        <f t="shared" si="190"/>
        <v>0</v>
      </c>
      <c r="Y178" s="9">
        <f t="shared" si="191"/>
        <v>0</v>
      </c>
      <c r="Z178" s="9">
        <f t="shared" si="192"/>
        <v>0</v>
      </c>
    </row>
    <row r="179" spans="2:26" hidden="1" x14ac:dyDescent="0.3">
      <c r="B179" s="50" t="s">
        <v>247</v>
      </c>
      <c r="C179" s="8" t="s">
        <v>426</v>
      </c>
      <c r="D179" s="9">
        <v>0</v>
      </c>
      <c r="E179" s="9">
        <v>0</v>
      </c>
      <c r="F179" s="9">
        <v>0</v>
      </c>
      <c r="G179" s="9">
        <v>-198.46899999999999</v>
      </c>
      <c r="H179" s="11">
        <v>-254.00700000000001</v>
      </c>
      <c r="I179" s="11">
        <v>-250.09899999999999</v>
      </c>
      <c r="J179" s="11">
        <v>-250.06800000000001</v>
      </c>
      <c r="K179" s="11">
        <v>0</v>
      </c>
      <c r="L179" s="11">
        <v>-455.27499999999998</v>
      </c>
      <c r="M179" s="11"/>
      <c r="N179" s="11"/>
      <c r="P179" s="9">
        <f t="shared" ref="P179:R181" si="200">IFERROR(D179/O$70*1000,0)</f>
        <v>0</v>
      </c>
      <c r="Q179" s="9">
        <f t="shared" si="200"/>
        <v>0</v>
      </c>
      <c r="R179" s="9">
        <f t="shared" si="200"/>
        <v>0</v>
      </c>
      <c r="S179" s="9">
        <f t="shared" si="195"/>
        <v>-637.22147306235161</v>
      </c>
      <c r="T179" s="9">
        <f t="shared" si="196"/>
        <v>-796.58481512842229</v>
      </c>
      <c r="U179" s="9">
        <f t="shared" si="197"/>
        <v>-768.70754571999373</v>
      </c>
      <c r="V179" s="9">
        <f t="shared" si="198"/>
        <v>-712.09955292308564</v>
      </c>
      <c r="W179" s="9">
        <f t="shared" si="199"/>
        <v>0</v>
      </c>
      <c r="X179" s="9">
        <f t="shared" si="190"/>
        <v>-1269.8733682918667</v>
      </c>
      <c r="Y179" s="9">
        <f t="shared" si="191"/>
        <v>0</v>
      </c>
      <c r="Z179" s="9">
        <f t="shared" si="192"/>
        <v>0</v>
      </c>
    </row>
    <row r="180" spans="2:26" hidden="1" x14ac:dyDescent="0.3">
      <c r="B180" s="50" t="s">
        <v>248</v>
      </c>
      <c r="C180" s="8" t="s">
        <v>249</v>
      </c>
      <c r="D180" s="9" t="s">
        <v>12</v>
      </c>
      <c r="E180" s="9" t="s">
        <v>12</v>
      </c>
      <c r="F180" s="9">
        <v>-185.221</v>
      </c>
      <c r="G180" s="9">
        <v>-1.302</v>
      </c>
      <c r="H180" s="9">
        <v>-2.4289999999999998</v>
      </c>
      <c r="I180" s="9">
        <v>0</v>
      </c>
      <c r="J180" s="9">
        <v>0</v>
      </c>
      <c r="K180" s="9"/>
      <c r="L180" s="9"/>
      <c r="M180" s="9"/>
      <c r="N180" s="9"/>
      <c r="P180" s="9">
        <f t="shared" si="200"/>
        <v>0</v>
      </c>
      <c r="Q180" s="9">
        <f t="shared" si="200"/>
        <v>0</v>
      </c>
      <c r="R180" s="9">
        <f t="shared" si="200"/>
        <v>-597.67989674088415</v>
      </c>
      <c r="S180" s="9">
        <f t="shared" si="195"/>
        <v>-4.1803120785975736</v>
      </c>
      <c r="T180" s="9">
        <f t="shared" si="196"/>
        <v>-7.617524382977388</v>
      </c>
      <c r="U180" s="9">
        <f t="shared" si="197"/>
        <v>0</v>
      </c>
      <c r="V180" s="9">
        <f t="shared" si="198"/>
        <v>0</v>
      </c>
      <c r="W180" s="9">
        <f t="shared" si="199"/>
        <v>0</v>
      </c>
      <c r="X180" s="9">
        <f t="shared" si="190"/>
        <v>0</v>
      </c>
      <c r="Y180" s="9">
        <f t="shared" si="191"/>
        <v>0</v>
      </c>
      <c r="Z180" s="9">
        <f t="shared" si="192"/>
        <v>0</v>
      </c>
    </row>
    <row r="181" spans="2:26" hidden="1" x14ac:dyDescent="0.3">
      <c r="B181" s="50" t="s">
        <v>250</v>
      </c>
      <c r="C181" s="8" t="s">
        <v>251</v>
      </c>
      <c r="D181" s="9">
        <v>-12.766999999999999</v>
      </c>
      <c r="E181" s="9">
        <v>-88.593999999999994</v>
      </c>
      <c r="F181" s="9" t="s">
        <v>12</v>
      </c>
      <c r="G181" s="9">
        <v>0</v>
      </c>
      <c r="H181" s="9">
        <v>0</v>
      </c>
      <c r="I181" s="9">
        <v>0</v>
      </c>
      <c r="J181" s="9">
        <v>0</v>
      </c>
      <c r="K181" s="9"/>
      <c r="L181" s="9"/>
      <c r="M181" s="9"/>
      <c r="N181" s="9"/>
      <c r="P181" s="9">
        <f t="shared" si="200"/>
        <v>-42.998113970092945</v>
      </c>
      <c r="Q181" s="9">
        <f t="shared" si="200"/>
        <v>-287.02779757662148</v>
      </c>
      <c r="R181" s="9">
        <f t="shared" si="200"/>
        <v>0</v>
      </c>
      <c r="S181" s="9">
        <f t="shared" si="195"/>
        <v>0</v>
      </c>
      <c r="T181" s="9">
        <f t="shared" si="196"/>
        <v>0</v>
      </c>
      <c r="U181" s="9">
        <f t="shared" si="197"/>
        <v>0</v>
      </c>
      <c r="V181" s="9">
        <f t="shared" si="198"/>
        <v>0</v>
      </c>
      <c r="W181" s="9">
        <f t="shared" si="199"/>
        <v>0</v>
      </c>
      <c r="X181" s="9">
        <f t="shared" si="190"/>
        <v>0</v>
      </c>
      <c r="Y181" s="9">
        <f t="shared" si="191"/>
        <v>0</v>
      </c>
      <c r="Z181" s="9">
        <f t="shared" si="192"/>
        <v>0</v>
      </c>
    </row>
    <row r="182" spans="2:26" hidden="1" x14ac:dyDescent="0.3">
      <c r="B182" s="52" t="s">
        <v>252</v>
      </c>
      <c r="C182" s="6" t="s">
        <v>253</v>
      </c>
      <c r="D182" s="13">
        <f t="shared" ref="D182:F182" si="201">SUM(D173:D181)</f>
        <v>-499.70300000000003</v>
      </c>
      <c r="E182" s="13">
        <f t="shared" si="201"/>
        <v>1181.3699999999999</v>
      </c>
      <c r="F182" s="13">
        <f t="shared" si="201"/>
        <v>-1532.4590000000001</v>
      </c>
      <c r="G182" s="13">
        <f t="shared" ref="G182:J182" si="202">SUM(G172:G181)</f>
        <v>221.05699999999987</v>
      </c>
      <c r="H182" s="13">
        <f t="shared" si="202"/>
        <v>-393.41699999999975</v>
      </c>
      <c r="I182" s="13">
        <f t="shared" si="202"/>
        <v>3251.9074700000001</v>
      </c>
      <c r="J182" s="13">
        <f t="shared" si="202"/>
        <v>13758.659522</v>
      </c>
      <c r="K182" s="13">
        <f>SUM(K172:K181)</f>
        <v>888.9583889999999</v>
      </c>
      <c r="L182" s="13">
        <f>SUM(L172:L181)</f>
        <v>-3680.5610000000001</v>
      </c>
      <c r="M182" s="13"/>
      <c r="N182" s="13"/>
      <c r="P182" s="13">
        <f t="shared" ref="P182:W182" si="203">SUM(P172:P181)</f>
        <v>-1682.9550047150747</v>
      </c>
      <c r="Q182" s="13">
        <f t="shared" si="203"/>
        <v>3827.4152789477089</v>
      </c>
      <c r="R182" s="13">
        <f t="shared" si="203"/>
        <v>-4945.0112939657965</v>
      </c>
      <c r="S182" s="13">
        <f t="shared" si="203"/>
        <v>709.74442946124668</v>
      </c>
      <c r="T182" s="13">
        <f t="shared" si="203"/>
        <v>-1233.7849280270968</v>
      </c>
      <c r="U182" s="13">
        <f t="shared" si="203"/>
        <v>9995.1051790379588</v>
      </c>
      <c r="V182" s="13">
        <f t="shared" si="203"/>
        <v>39179.484358003239</v>
      </c>
      <c r="W182" s="13">
        <f t="shared" si="203"/>
        <v>2531.4189395449494</v>
      </c>
      <c r="X182" s="13">
        <f>SUM(X172:X181)</f>
        <v>-10265.985161218341</v>
      </c>
      <c r="Y182" s="13">
        <f>SUM(Y172:Y181)</f>
        <v>0</v>
      </c>
      <c r="Z182" s="13">
        <f>SUM(Z172:Z181)</f>
        <v>0</v>
      </c>
    </row>
    <row r="183" spans="2:26" hidden="1" x14ac:dyDescent="0.3">
      <c r="B183" s="52" t="s">
        <v>254</v>
      </c>
      <c r="C183" s="6" t="s">
        <v>255</v>
      </c>
      <c r="D183" s="13">
        <f t="shared" ref="D183:F183" si="204">+D182+D171+D163</f>
        <v>-62.866000000000213</v>
      </c>
      <c r="E183" s="13">
        <f t="shared" si="204"/>
        <v>1374.0809999999999</v>
      </c>
      <c r="F183" s="13">
        <f t="shared" si="204"/>
        <v>-327.60400000000027</v>
      </c>
      <c r="G183" s="13">
        <f t="shared" ref="G183:L183" si="205">+G182+G171+G163</f>
        <v>1992.0339999999994</v>
      </c>
      <c r="H183" s="13">
        <f t="shared" si="205"/>
        <v>-920.28800000000024</v>
      </c>
      <c r="I183" s="13">
        <f t="shared" si="205"/>
        <v>-270.70663700000023</v>
      </c>
      <c r="J183" s="13">
        <f t="shared" si="205"/>
        <v>2286.4525459999959</v>
      </c>
      <c r="K183" s="13">
        <f t="shared" si="205"/>
        <v>-1438.5395364737597</v>
      </c>
      <c r="L183" s="13">
        <f t="shared" si="205"/>
        <v>213.47600000000239</v>
      </c>
      <c r="M183" s="13"/>
      <c r="N183" s="13"/>
      <c r="P183" s="13">
        <f t="shared" ref="P183" si="206">+P182+P171+P163</f>
        <v>-211.72706452916646</v>
      </c>
      <c r="Q183" s="13">
        <f t="shared" ref="Q183" si="207">+Q182+Q171+Q163</f>
        <v>4451.7624570725056</v>
      </c>
      <c r="R183" s="13">
        <f t="shared" ref="R183" si="208">+R182+R171+R163</f>
        <v>-1057.1281058405957</v>
      </c>
      <c r="S183" s="13">
        <f>+S182+S171+S163</f>
        <v>6395.7940024401196</v>
      </c>
      <c r="T183" s="13">
        <f t="shared" ref="T183:X183" si="209">+T182+T171+T163</f>
        <v>-2886.0915106469747</v>
      </c>
      <c r="U183" s="13">
        <f t="shared" si="209"/>
        <v>-832.04744736437533</v>
      </c>
      <c r="V183" s="13">
        <f t="shared" si="209"/>
        <v>6510.956363015056</v>
      </c>
      <c r="W183" s="13">
        <f t="shared" si="209"/>
        <v>-4096.4192171135364</v>
      </c>
      <c r="X183" s="13">
        <f t="shared" si="209"/>
        <v>595.43679571572284</v>
      </c>
      <c r="Y183" s="13">
        <f t="shared" ref="Y183:Z183" si="210">+Y182+Y171+Y163</f>
        <v>0</v>
      </c>
      <c r="Z183" s="13">
        <f t="shared" si="210"/>
        <v>0</v>
      </c>
    </row>
    <row r="184" spans="2:26" hidden="1" x14ac:dyDescent="0.3">
      <c r="B184" s="50" t="s">
        <v>256</v>
      </c>
      <c r="C184" s="8" t="s">
        <v>257</v>
      </c>
      <c r="D184" s="9">
        <v>940.96600000000001</v>
      </c>
      <c r="E184" s="9">
        <v>878.1</v>
      </c>
      <c r="F184" s="9">
        <v>2252.163</v>
      </c>
      <c r="G184" s="9">
        <v>1924.559</v>
      </c>
      <c r="H184" s="9">
        <v>3915.0909999999999</v>
      </c>
      <c r="I184" s="9">
        <v>2825.6979999999999</v>
      </c>
      <c r="J184" s="9">
        <v>2561.2179999999998</v>
      </c>
      <c r="K184" s="9">
        <v>4847.6710000000003</v>
      </c>
      <c r="L184" s="9">
        <v>3455.0450000000001</v>
      </c>
      <c r="M184" s="9"/>
      <c r="N184" s="9"/>
      <c r="P184" s="9">
        <f t="shared" ref="P184:R185" si="211">IFERROR(D184/O$70*1000,0)</f>
        <v>3169.0893169877404</v>
      </c>
      <c r="Q184" s="9">
        <f t="shared" si="211"/>
        <v>2844.8778591330265</v>
      </c>
      <c r="R184" s="9">
        <f t="shared" si="211"/>
        <v>7267.386253630204</v>
      </c>
      <c r="S184" s="9">
        <f t="shared" ref="S184:Z185" si="212">IFERROR(G184/S$70*1000,0)</f>
        <v>6179.1530212547359</v>
      </c>
      <c r="T184" s="9">
        <f t="shared" si="212"/>
        <v>12278.016119421707</v>
      </c>
      <c r="U184" s="9">
        <f t="shared" si="212"/>
        <v>8685.1021976333159</v>
      </c>
      <c r="V184" s="9">
        <f t="shared" si="212"/>
        <v>7293.3849702423322</v>
      </c>
      <c r="W184" s="9">
        <f t="shared" si="212"/>
        <v>13804.342626078538</v>
      </c>
      <c r="X184" s="9">
        <f t="shared" si="212"/>
        <v>9636.9658596452082</v>
      </c>
      <c r="Y184" s="9">
        <f t="shared" si="212"/>
        <v>0</v>
      </c>
      <c r="Z184" s="9">
        <f t="shared" si="212"/>
        <v>0</v>
      </c>
    </row>
    <row r="185" spans="2:26" hidden="1" x14ac:dyDescent="0.3">
      <c r="B185" s="50" t="s">
        <v>258</v>
      </c>
      <c r="C185" s="8"/>
      <c r="D185" s="9">
        <v>0</v>
      </c>
      <c r="E185" s="9">
        <v>0</v>
      </c>
      <c r="F185" s="9">
        <v>0</v>
      </c>
      <c r="G185" s="9">
        <v>-1.5029999999999999</v>
      </c>
      <c r="H185" s="9">
        <v>-6.6509999999999998</v>
      </c>
      <c r="I185" s="9">
        <v>-6.2270000000000003</v>
      </c>
      <c r="J185" s="9">
        <v>0</v>
      </c>
      <c r="K185" s="9">
        <v>45.914000000000001</v>
      </c>
      <c r="L185" s="9">
        <v>10.731999999999999</v>
      </c>
      <c r="M185" s="9"/>
      <c r="N185" s="9"/>
      <c r="P185" s="9">
        <f t="shared" si="211"/>
        <v>0</v>
      </c>
      <c r="Q185" s="9">
        <f t="shared" si="211"/>
        <v>0</v>
      </c>
      <c r="R185" s="9">
        <f t="shared" si="211"/>
        <v>0</v>
      </c>
      <c r="S185" s="9">
        <f t="shared" si="212"/>
        <v>-4.8256597958004246</v>
      </c>
      <c r="T185" s="9">
        <f t="shared" si="212"/>
        <v>-20.858029918148461</v>
      </c>
      <c r="U185" s="9">
        <f t="shared" si="212"/>
        <v>-19.139388351006609</v>
      </c>
      <c r="V185" s="9">
        <f t="shared" si="212"/>
        <v>0</v>
      </c>
      <c r="W185" s="9">
        <f t="shared" si="212"/>
        <v>130.74579263604522</v>
      </c>
      <c r="X185" s="9">
        <f t="shared" si="212"/>
        <v>29.934173825727992</v>
      </c>
      <c r="Y185" s="9">
        <f t="shared" si="212"/>
        <v>0</v>
      </c>
      <c r="Z185" s="9">
        <f t="shared" si="212"/>
        <v>0</v>
      </c>
    </row>
    <row r="186" spans="2:26" ht="15" hidden="1" thickBot="1" x14ac:dyDescent="0.35">
      <c r="B186" s="59" t="s">
        <v>259</v>
      </c>
      <c r="C186" s="60" t="s">
        <v>260</v>
      </c>
      <c r="D186" s="61">
        <f t="shared" ref="D186:F186" si="213">+D183+D184+D185</f>
        <v>878.0999999999998</v>
      </c>
      <c r="E186" s="61">
        <f t="shared" si="213"/>
        <v>2252.181</v>
      </c>
      <c r="F186" s="61">
        <f t="shared" si="213"/>
        <v>1924.5589999999997</v>
      </c>
      <c r="G186" s="61">
        <f t="shared" ref="G186:L186" si="214">+G183+G184+G185</f>
        <v>3915.0899999999992</v>
      </c>
      <c r="H186" s="61">
        <f t="shared" si="214"/>
        <v>2988.152</v>
      </c>
      <c r="I186" s="61">
        <f t="shared" si="214"/>
        <v>2548.7643629999998</v>
      </c>
      <c r="J186" s="61">
        <f t="shared" si="214"/>
        <v>4847.6705459999957</v>
      </c>
      <c r="K186" s="61">
        <f t="shared" si="214"/>
        <v>3455.0454635262408</v>
      </c>
      <c r="L186" s="61">
        <f t="shared" si="214"/>
        <v>3679.2530000000024</v>
      </c>
      <c r="M186" s="61"/>
      <c r="N186" s="61"/>
      <c r="P186" s="61">
        <f t="shared" ref="P186" si="215">+P183+P184+P185</f>
        <v>2957.3622524585739</v>
      </c>
      <c r="Q186" s="61">
        <f t="shared" ref="Q186" si="216">+Q183+Q184+Q185</f>
        <v>7296.6403162055321</v>
      </c>
      <c r="R186" s="61">
        <f t="shared" ref="R186" si="217">+R183+R184+R185</f>
        <v>6210.2581477896083</v>
      </c>
      <c r="S186" s="61">
        <f>+S183+S184+S185</f>
        <v>12570.121363899054</v>
      </c>
      <c r="T186" s="61">
        <f t="shared" ref="T186:X186" si="218">+T183+T184+T185</f>
        <v>9371.0665788565839</v>
      </c>
      <c r="U186" s="61">
        <f t="shared" si="218"/>
        <v>7833.9153619179342</v>
      </c>
      <c r="V186" s="61">
        <f t="shared" si="218"/>
        <v>13804.341333257387</v>
      </c>
      <c r="W186" s="61">
        <f t="shared" si="218"/>
        <v>9838.6692016010475</v>
      </c>
      <c r="X186" s="61">
        <f t="shared" si="218"/>
        <v>10262.336829186659</v>
      </c>
      <c r="Y186" s="61">
        <f t="shared" ref="Y186:Z186" si="219">+Y183+Y184+Y185</f>
        <v>0</v>
      </c>
      <c r="Z186" s="61">
        <f t="shared" si="219"/>
        <v>0</v>
      </c>
    </row>
  </sheetData>
  <mergeCells count="2">
    <mergeCell ref="D2:H2"/>
    <mergeCell ref="O2:S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B84A-AA83-4A05-8D18-814F868FC511}">
  <sheetPr codeName="Munka2"/>
  <dimension ref="A1:U142"/>
  <sheetViews>
    <sheetView topLeftCell="C1" zoomScale="70" zoomScaleNormal="70" workbookViewId="0">
      <selection activeCell="K5" sqref="K5:K24"/>
    </sheetView>
  </sheetViews>
  <sheetFormatPr defaultColWidth="8.77734375" defaultRowHeight="14.4" x14ac:dyDescent="0.3"/>
  <cols>
    <col min="2" max="3" width="36.44140625" style="87" customWidth="1"/>
    <col min="4" max="4" width="13.33203125" customWidth="1"/>
    <col min="5" max="5" width="13.6640625" customWidth="1"/>
    <col min="6" max="11" width="14" customWidth="1"/>
    <col min="12" max="12" width="13.44140625" customWidth="1"/>
    <col min="14" max="14" width="12.33203125" customWidth="1"/>
    <col min="15" max="15" width="13.6640625" style="103" customWidth="1"/>
    <col min="16" max="17" width="13.33203125" style="103" bestFit="1" customWidth="1"/>
    <col min="18" max="21" width="10.77734375" customWidth="1"/>
  </cols>
  <sheetData>
    <row r="1" spans="2:21" ht="18" x14ac:dyDescent="0.35">
      <c r="N1" s="421" t="s">
        <v>290</v>
      </c>
      <c r="O1" s="421"/>
    </row>
    <row r="2" spans="2:21" x14ac:dyDescent="0.3">
      <c r="M2" t="s">
        <v>320</v>
      </c>
      <c r="N2" s="179">
        <v>309.45999999999998</v>
      </c>
      <c r="O2" s="178">
        <v>314.08</v>
      </c>
      <c r="P2" s="178">
        <v>320.57</v>
      </c>
      <c r="Q2" s="178">
        <v>345.15</v>
      </c>
      <c r="R2" s="178">
        <v>354.75</v>
      </c>
      <c r="S2" s="178">
        <v>375.07</v>
      </c>
      <c r="T2" s="178">
        <v>380.94</v>
      </c>
      <c r="U2" s="178">
        <v>389.82</v>
      </c>
    </row>
    <row r="3" spans="2:21" x14ac:dyDescent="0.3">
      <c r="B3" s="88" t="s">
        <v>165</v>
      </c>
      <c r="C3" s="88" t="s">
        <v>166</v>
      </c>
      <c r="D3" s="98" t="s">
        <v>168</v>
      </c>
      <c r="E3" s="98" t="s">
        <v>140</v>
      </c>
      <c r="F3" s="98" t="s">
        <v>282</v>
      </c>
      <c r="G3" s="98" t="s">
        <v>404</v>
      </c>
      <c r="H3" s="98" t="s">
        <v>455</v>
      </c>
      <c r="I3" s="98" t="s">
        <v>468</v>
      </c>
      <c r="J3" s="98" t="s">
        <v>487</v>
      </c>
      <c r="K3" s="98" t="s">
        <v>515</v>
      </c>
      <c r="N3" s="3" t="s">
        <v>168</v>
      </c>
      <c r="O3" s="98" t="s">
        <v>140</v>
      </c>
      <c r="P3" s="98" t="s">
        <v>282</v>
      </c>
      <c r="Q3" s="98" t="s">
        <v>404</v>
      </c>
      <c r="R3" s="98" t="s">
        <v>455</v>
      </c>
      <c r="S3" s="98" t="s">
        <v>468</v>
      </c>
      <c r="T3" s="98" t="s">
        <v>487</v>
      </c>
      <c r="U3" s="98" t="s">
        <v>515</v>
      </c>
    </row>
    <row r="4" spans="2:21" x14ac:dyDescent="0.3">
      <c r="B4" s="88"/>
      <c r="C4" s="88"/>
      <c r="D4" s="131" t="s">
        <v>170</v>
      </c>
      <c r="E4" s="131" t="s">
        <v>170</v>
      </c>
      <c r="F4" s="131" t="s">
        <v>170</v>
      </c>
      <c r="G4" s="131" t="s">
        <v>170</v>
      </c>
      <c r="H4" s="131" t="s">
        <v>170</v>
      </c>
      <c r="I4" s="131" t="s">
        <v>170</v>
      </c>
      <c r="J4" s="131" t="s">
        <v>170</v>
      </c>
      <c r="K4" s="131" t="s">
        <v>170</v>
      </c>
      <c r="N4" s="132" t="s">
        <v>180</v>
      </c>
      <c r="O4" s="98" t="s">
        <v>180</v>
      </c>
      <c r="P4" s="131" t="s">
        <v>180</v>
      </c>
      <c r="Q4" s="131" t="s">
        <v>180</v>
      </c>
      <c r="R4" s="131" t="s">
        <v>180</v>
      </c>
      <c r="S4" s="131" t="s">
        <v>180</v>
      </c>
      <c r="T4" s="131" t="s">
        <v>180</v>
      </c>
      <c r="U4" s="131" t="s">
        <v>180</v>
      </c>
    </row>
    <row r="5" spans="2:21" ht="14.55" customHeight="1" x14ac:dyDescent="0.3">
      <c r="B5" s="89" t="s">
        <v>97</v>
      </c>
      <c r="C5" s="89" t="s">
        <v>141</v>
      </c>
      <c r="D5" s="104">
        <v>8634.77</v>
      </c>
      <c r="E5" s="99">
        <v>9276.6434790000003</v>
      </c>
      <c r="F5" s="104">
        <v>12141.442588</v>
      </c>
      <c r="G5" s="99">
        <v>16163.527</v>
      </c>
      <c r="H5" s="104">
        <v>19781</v>
      </c>
      <c r="I5" s="99">
        <v>37988</v>
      </c>
      <c r="J5" s="104">
        <v>58853.546000000002</v>
      </c>
      <c r="K5" s="99">
        <v>49787.264000000003</v>
      </c>
      <c r="N5" s="127">
        <f t="shared" ref="N5:N15" si="0">+D5/N$2*1000</f>
        <v>27902.701479997417</v>
      </c>
      <c r="O5" s="99">
        <f t="shared" ref="O5:O15" si="1">+E5/O$2*1000</f>
        <v>29535.925493504841</v>
      </c>
      <c r="P5" s="104">
        <f t="shared" ref="P5:P15" si="2">+F5/P$2*1000</f>
        <v>37874.544055900427</v>
      </c>
      <c r="Q5" s="99">
        <f>+G5/Q$2*1000</f>
        <v>46830.441836882521</v>
      </c>
      <c r="R5" s="104">
        <f>+H5/R$2*1000</f>
        <v>55760.394644115571</v>
      </c>
      <c r="S5" s="99">
        <f>+I5/S$2*1000</f>
        <v>101282.42728024103</v>
      </c>
      <c r="T5" s="104">
        <f>+J5/T$2*1000</f>
        <v>154495.57935632908</v>
      </c>
      <c r="U5" s="99">
        <f>+K5/U$2*1000</f>
        <v>127718.59832743318</v>
      </c>
    </row>
    <row r="6" spans="2:21" x14ac:dyDescent="0.3">
      <c r="B6" s="90" t="s">
        <v>169</v>
      </c>
      <c r="C6" s="90" t="s">
        <v>142</v>
      </c>
      <c r="D6" s="105">
        <v>-6551.1670000000004</v>
      </c>
      <c r="E6" s="100">
        <v>-7213.7795980000001</v>
      </c>
      <c r="F6" s="105">
        <v>-8379.8780210000004</v>
      </c>
      <c r="G6" s="100">
        <v>-10936.562</v>
      </c>
      <c r="H6" s="105">
        <v>-10983</v>
      </c>
      <c r="I6" s="100">
        <v>-22015</v>
      </c>
      <c r="J6" s="105">
        <v>-37944.813999999998</v>
      </c>
      <c r="K6" s="100">
        <v>-32015.133000000002</v>
      </c>
      <c r="N6" s="128">
        <f t="shared" si="0"/>
        <v>-21169.672978737159</v>
      </c>
      <c r="O6" s="100">
        <f t="shared" si="1"/>
        <v>-22967.968664034644</v>
      </c>
      <c r="P6" s="105">
        <f t="shared" si="2"/>
        <v>-26140.555950338465</v>
      </c>
      <c r="Q6" s="100">
        <f>+G6/Q$2*1000</f>
        <v>-31686.403013182677</v>
      </c>
      <c r="R6" s="105">
        <f>+H6/R$2*1000</f>
        <v>-30959.83086680761</v>
      </c>
      <c r="S6" s="100">
        <f>+I6/S$2*1000</f>
        <v>-58695.710134108303</v>
      </c>
      <c r="T6" s="105">
        <f>+J6/T$2*1000</f>
        <v>-99608.374022155709</v>
      </c>
      <c r="U6" s="100">
        <f>+K6/U$2*1000</f>
        <v>-82127.9898414653</v>
      </c>
    </row>
    <row r="7" spans="2:21" x14ac:dyDescent="0.3">
      <c r="B7" s="91" t="s">
        <v>143</v>
      </c>
      <c r="C7" s="91" t="s">
        <v>144</v>
      </c>
      <c r="D7" s="106">
        <v>-1107.2819999999999</v>
      </c>
      <c r="E7" s="101">
        <v>-1245.3993559999999</v>
      </c>
      <c r="F7" s="106">
        <v>-1290.5134969999999</v>
      </c>
      <c r="G7" s="101">
        <v>-1557.479</v>
      </c>
      <c r="H7" s="106">
        <v>-2189</v>
      </c>
      <c r="I7" s="101">
        <v>-2526</v>
      </c>
      <c r="J7" s="106">
        <v>-3730.8319999999999</v>
      </c>
      <c r="K7" s="101">
        <v>-5095.6610000000001</v>
      </c>
      <c r="N7" s="129">
        <f t="shared" si="0"/>
        <v>-3578.1102565759711</v>
      </c>
      <c r="O7" s="101">
        <f t="shared" si="1"/>
        <v>-3965.2297376464594</v>
      </c>
      <c r="P7" s="106">
        <f t="shared" si="2"/>
        <v>-4025.6839286271324</v>
      </c>
      <c r="Q7" s="101">
        <f>+G7/Q$2*1000</f>
        <v>-4512.4699406055342</v>
      </c>
      <c r="R7" s="106">
        <f>+H7/R$2*1000</f>
        <v>-6170.5426356589151</v>
      </c>
      <c r="S7" s="101">
        <f>+I7/S$2*1000</f>
        <v>-6734.742848001707</v>
      </c>
      <c r="T7" s="106">
        <f>+J7/T$2*1000</f>
        <v>-9793.7522969496495</v>
      </c>
      <c r="U7" s="101">
        <f>+K7/U$2*1000</f>
        <v>-13071.830588476732</v>
      </c>
    </row>
    <row r="8" spans="2:21" x14ac:dyDescent="0.3">
      <c r="B8" s="91" t="s">
        <v>145</v>
      </c>
      <c r="C8" s="91" t="s">
        <v>146</v>
      </c>
      <c r="D8" s="106">
        <v>-284.24700000000001</v>
      </c>
      <c r="E8" s="101">
        <v>-336.25823700000001</v>
      </c>
      <c r="F8" s="106">
        <v>-908.34394999999995</v>
      </c>
      <c r="G8" s="101">
        <v>-1303.088</v>
      </c>
      <c r="H8" s="106">
        <v>-2187</v>
      </c>
      <c r="I8" s="101">
        <v>-1955</v>
      </c>
      <c r="J8" s="106">
        <v>-2088.0189999999998</v>
      </c>
      <c r="K8" s="101">
        <v>-2222.12</v>
      </c>
      <c r="N8" s="129">
        <f t="shared" si="0"/>
        <v>-918.52581916887493</v>
      </c>
      <c r="O8" s="101">
        <f t="shared" si="1"/>
        <v>-1070.6133373662763</v>
      </c>
      <c r="P8" s="106">
        <f t="shared" si="2"/>
        <v>-2833.5276226721153</v>
      </c>
      <c r="Q8" s="101">
        <f>+G8/Q$2*1000</f>
        <v>-3775.4251774590762</v>
      </c>
      <c r="R8" s="106">
        <f>+H8/R$2*1000</f>
        <v>-6164.9048625792811</v>
      </c>
      <c r="S8" s="101">
        <f>+I8/S$2*1000</f>
        <v>-5212.3603593995786</v>
      </c>
      <c r="T8" s="106">
        <f>+J8/T$2*1000</f>
        <v>-5481.2280149104845</v>
      </c>
      <c r="U8" s="101">
        <f>+K8/U$2*1000</f>
        <v>-5700.3745318352057</v>
      </c>
    </row>
    <row r="9" spans="2:21" x14ac:dyDescent="0.3">
      <c r="B9" s="91" t="s">
        <v>107</v>
      </c>
      <c r="C9" s="91" t="s">
        <v>147</v>
      </c>
      <c r="D9" s="106">
        <v>287.04899999999998</v>
      </c>
      <c r="E9" s="101">
        <v>118.66872499999999</v>
      </c>
      <c r="F9" s="106">
        <v>-348.20757500000002</v>
      </c>
      <c r="G9" s="101">
        <v>-532.10900000000004</v>
      </c>
      <c r="H9" s="106">
        <v>-528</v>
      </c>
      <c r="I9" s="101">
        <v>-1796.4</v>
      </c>
      <c r="J9" s="106">
        <v>-4707.607</v>
      </c>
      <c r="K9" s="101">
        <v>-3275.509</v>
      </c>
      <c r="N9" s="129">
        <f t="shared" si="0"/>
        <v>927.58030116977966</v>
      </c>
      <c r="O9" s="101">
        <f t="shared" si="1"/>
        <v>377.82961347427408</v>
      </c>
      <c r="P9" s="106">
        <f t="shared" si="2"/>
        <v>-1086.2138534485448</v>
      </c>
      <c r="Q9" s="101">
        <f>+G9/Q$2*1000</f>
        <v>-1541.6746342170075</v>
      </c>
      <c r="R9" s="106">
        <f>+H9/R$2*1000</f>
        <v>-1488.3720930232557</v>
      </c>
      <c r="S9" s="101">
        <f>+I9/S$2*1000</f>
        <v>-4789.5059588876738</v>
      </c>
      <c r="T9" s="106">
        <f>+J9/T$2*1000</f>
        <v>-12357.870005775188</v>
      </c>
      <c r="U9" s="101">
        <f>+K9/U$2*1000</f>
        <v>-8402.6191575598987</v>
      </c>
    </row>
    <row r="10" spans="2:21" x14ac:dyDescent="0.3">
      <c r="B10" s="91" t="s">
        <v>148</v>
      </c>
      <c r="C10" s="91" t="s">
        <v>149</v>
      </c>
      <c r="D10" s="106"/>
      <c r="E10" s="101">
        <v>-22.455480999999999</v>
      </c>
      <c r="F10" s="106">
        <v>-80.143831000000006</v>
      </c>
      <c r="G10" s="101">
        <v>-0.38100000000000001</v>
      </c>
      <c r="H10" s="106"/>
      <c r="I10" s="101"/>
      <c r="J10" s="106"/>
      <c r="K10" s="101"/>
      <c r="N10" s="129">
        <f t="shared" si="0"/>
        <v>0</v>
      </c>
      <c r="O10" s="101">
        <f t="shared" si="1"/>
        <v>-71.496055145185935</v>
      </c>
      <c r="P10" s="106">
        <f t="shared" si="2"/>
        <v>-250.00415197928695</v>
      </c>
      <c r="Q10" s="101">
        <f>+G10/Q$2*1000</f>
        <v>-1.1038678835289006</v>
      </c>
      <c r="R10" s="106">
        <f>+H10/R$2*1000</f>
        <v>0</v>
      </c>
      <c r="S10" s="101">
        <f>+I10/S$2*1000</f>
        <v>0</v>
      </c>
      <c r="T10" s="106">
        <f>+J10/T$2*1000</f>
        <v>0</v>
      </c>
      <c r="U10" s="101">
        <f>+K10/U$2*1000</f>
        <v>0</v>
      </c>
    </row>
    <row r="11" spans="2:21" x14ac:dyDescent="0.3">
      <c r="B11" s="25" t="s">
        <v>435</v>
      </c>
      <c r="C11" s="91" t="s">
        <v>415</v>
      </c>
      <c r="D11" s="106"/>
      <c r="E11" s="101"/>
      <c r="F11" s="106"/>
      <c r="G11" s="101"/>
      <c r="H11" s="106">
        <v>133</v>
      </c>
      <c r="I11" s="101">
        <v>156.5</v>
      </c>
      <c r="J11" s="106">
        <v>296.03500000000003</v>
      </c>
      <c r="K11" s="101">
        <v>362.4</v>
      </c>
      <c r="N11" s="129"/>
      <c r="O11" s="101"/>
      <c r="P11" s="106"/>
      <c r="Q11" s="101"/>
      <c r="R11" s="106"/>
      <c r="S11" s="101"/>
      <c r="T11" s="106"/>
      <c r="U11" s="101"/>
    </row>
    <row r="12" spans="2:21" x14ac:dyDescent="0.3">
      <c r="B12" s="84" t="s">
        <v>150</v>
      </c>
      <c r="C12" s="84" t="s">
        <v>151</v>
      </c>
      <c r="D12" s="107">
        <f>SUM(D5:D10)</f>
        <v>979.12300000000005</v>
      </c>
      <c r="E12" s="28">
        <f>SUM(E5:E10)</f>
        <v>577.41953200000034</v>
      </c>
      <c r="F12" s="107">
        <f>SUM(F5:F10)</f>
        <v>1134.3557139999996</v>
      </c>
      <c r="G12" s="28">
        <f>SUM(G5:G11)</f>
        <v>1833.9080000000001</v>
      </c>
      <c r="H12" s="107">
        <f>SUM(H5:H11)</f>
        <v>4027</v>
      </c>
      <c r="I12" s="28">
        <f>SUM(I5:I11)</f>
        <v>9852.1</v>
      </c>
      <c r="J12" s="107">
        <f>SUM(J5:J11)</f>
        <v>10678.309000000005</v>
      </c>
      <c r="K12" s="28">
        <f>SUM(K5:K11)</f>
        <v>7541.2410000000018</v>
      </c>
      <c r="N12" s="107">
        <f t="shared" si="0"/>
        <v>3163.9727266851942</v>
      </c>
      <c r="O12" s="28">
        <f t="shared" si="1"/>
        <v>1838.4473127865524</v>
      </c>
      <c r="P12" s="107">
        <f t="shared" si="2"/>
        <v>3538.5585488348866</v>
      </c>
      <c r="Q12" s="28">
        <f>+G12/Q$2*1000</f>
        <v>5313.3652035346959</v>
      </c>
      <c r="R12" s="107">
        <f>+H12/R$2*1000</f>
        <v>11351.656095842141</v>
      </c>
      <c r="S12" s="28">
        <f>+I12/S$2*1000</f>
        <v>26267.36342549391</v>
      </c>
      <c r="T12" s="107">
        <f>+J12/T$2*1000</f>
        <v>28031.472147844815</v>
      </c>
      <c r="U12" s="28">
        <f>+K12/U$2*1000</f>
        <v>19345.444051100516</v>
      </c>
    </row>
    <row r="13" spans="2:21" x14ac:dyDescent="0.3">
      <c r="B13" s="91" t="s">
        <v>152</v>
      </c>
      <c r="C13" s="91" t="s">
        <v>153</v>
      </c>
      <c r="D13" s="106">
        <v>-176.41499999999999</v>
      </c>
      <c r="E13" s="101">
        <v>-25.957788999999998</v>
      </c>
      <c r="F13" s="106">
        <v>-361.33734099999998</v>
      </c>
      <c r="G13" s="101">
        <v>-312</v>
      </c>
      <c r="H13" s="106">
        <v>-565</v>
      </c>
      <c r="I13" s="101">
        <v>-356</v>
      </c>
      <c r="J13" s="106">
        <v>384.31700000000001</v>
      </c>
      <c r="K13" s="101">
        <v>-147</v>
      </c>
      <c r="N13" s="129">
        <f t="shared" si="0"/>
        <v>-570.07367672720227</v>
      </c>
      <c r="O13" s="101">
        <f t="shared" si="1"/>
        <v>-82.647061258278143</v>
      </c>
      <c r="P13" s="106">
        <f t="shared" si="2"/>
        <v>-1127.1714165392893</v>
      </c>
      <c r="Q13" s="101">
        <f>+G13/Q$2*1000</f>
        <v>-903.95480225988706</v>
      </c>
      <c r="R13" s="106">
        <f>+H13/R$2*1000</f>
        <v>-1592.6708949964764</v>
      </c>
      <c r="S13" s="101">
        <f>+I13/S$2*1000</f>
        <v>-949.15615751726341</v>
      </c>
      <c r="T13" s="106">
        <f>+J13/T$2*1000</f>
        <v>1008.8649131096761</v>
      </c>
      <c r="U13" s="101">
        <f>+K13/U$2*1000</f>
        <v>-377.09712174849932</v>
      </c>
    </row>
    <row r="14" spans="2:21" x14ac:dyDescent="0.3">
      <c r="B14" s="85" t="s">
        <v>119</v>
      </c>
      <c r="C14" s="85" t="s">
        <v>154</v>
      </c>
      <c r="D14" s="107">
        <f t="shared" ref="D14:I14" si="3">+D12+D13</f>
        <v>802.70800000000008</v>
      </c>
      <c r="E14" s="28">
        <f t="shared" si="3"/>
        <v>551.4617430000003</v>
      </c>
      <c r="F14" s="107">
        <f t="shared" si="3"/>
        <v>773.01837299999966</v>
      </c>
      <c r="G14" s="28">
        <f t="shared" si="3"/>
        <v>1521.9080000000001</v>
      </c>
      <c r="H14" s="107">
        <f t="shared" si="3"/>
        <v>3462</v>
      </c>
      <c r="I14" s="28">
        <f t="shared" si="3"/>
        <v>9496.1</v>
      </c>
      <c r="J14" s="107">
        <f t="shared" ref="J14:K14" si="4">+J12+J13</f>
        <v>11062.626000000004</v>
      </c>
      <c r="K14" s="28">
        <f t="shared" si="4"/>
        <v>7394.2410000000018</v>
      </c>
      <c r="N14" s="107">
        <f t="shared" si="0"/>
        <v>2593.8990499579918</v>
      </c>
      <c r="O14" s="28">
        <f t="shared" si="1"/>
        <v>1755.800251528274</v>
      </c>
      <c r="P14" s="107">
        <f t="shared" si="2"/>
        <v>2411.3871322955974</v>
      </c>
      <c r="Q14" s="28">
        <f>+G14/Q$2*1000</f>
        <v>4409.4104012748085</v>
      </c>
      <c r="R14" s="107">
        <f>+H14/R$2*1000</f>
        <v>9758.9852008456655</v>
      </c>
      <c r="S14" s="28">
        <f>+I14/S$2*1000</f>
        <v>25318.207267976646</v>
      </c>
      <c r="T14" s="107">
        <f>+J14/T$2*1000</f>
        <v>29040.337060954491</v>
      </c>
      <c r="U14" s="28">
        <f>+K14/U$2*1000</f>
        <v>18968.346929352014</v>
      </c>
    </row>
    <row r="15" spans="2:21" x14ac:dyDescent="0.3">
      <c r="B15" s="91" t="s">
        <v>121</v>
      </c>
      <c r="C15" s="91" t="s">
        <v>155</v>
      </c>
      <c r="D15" s="106">
        <v>-215.85499999999999</v>
      </c>
      <c r="E15" s="101">
        <v>-200.574298</v>
      </c>
      <c r="F15" s="106">
        <v>-289.70930399999997</v>
      </c>
      <c r="G15" s="101">
        <v>-458</v>
      </c>
      <c r="H15" s="106">
        <v>-642</v>
      </c>
      <c r="I15" s="101">
        <v>-1425</v>
      </c>
      <c r="J15" s="106">
        <v>-2189.9830000000002</v>
      </c>
      <c r="K15" s="101">
        <v>-1547</v>
      </c>
      <c r="N15" s="129">
        <f t="shared" si="0"/>
        <v>-697.52148904543401</v>
      </c>
      <c r="O15" s="101">
        <f t="shared" si="1"/>
        <v>-638.60894676515545</v>
      </c>
      <c r="P15" s="106">
        <f t="shared" si="2"/>
        <v>-903.73180272639354</v>
      </c>
      <c r="Q15" s="101">
        <f>+G15/Q$2*1000</f>
        <v>-1326.9592930609881</v>
      </c>
      <c r="R15" s="106">
        <f>+H15/R$2*1000</f>
        <v>-1809.7251585623678</v>
      </c>
      <c r="S15" s="101">
        <f>+I15/S$2*1000</f>
        <v>-3799.2907990508438</v>
      </c>
      <c r="T15" s="106">
        <f>+J15/T$2*1000</f>
        <v>-5748.8922139969554</v>
      </c>
      <c r="U15" s="101">
        <f>+K15/U$2*1000</f>
        <v>-3968.498281258017</v>
      </c>
    </row>
    <row r="16" spans="2:21" x14ac:dyDescent="0.3">
      <c r="B16" s="246" t="s">
        <v>408</v>
      </c>
      <c r="C16" s="247" t="s">
        <v>409</v>
      </c>
      <c r="D16" s="106"/>
      <c r="E16" s="101"/>
      <c r="F16" s="106"/>
      <c r="G16" s="101"/>
      <c r="H16" s="106"/>
      <c r="I16" s="101"/>
      <c r="J16" s="106"/>
      <c r="K16" s="101"/>
      <c r="N16" s="129"/>
      <c r="O16" s="101"/>
      <c r="P16" s="106"/>
      <c r="Q16" s="101"/>
      <c r="R16" s="106"/>
      <c r="S16" s="101">
        <f>+I16/S$2*1000</f>
        <v>0</v>
      </c>
      <c r="T16" s="106">
        <f>+J16/T$2*1000</f>
        <v>0</v>
      </c>
      <c r="U16" s="101">
        <f>+K16/U$2*1000</f>
        <v>0</v>
      </c>
    </row>
    <row r="17" spans="2:21" ht="28.8" x14ac:dyDescent="0.3">
      <c r="B17" s="85" t="s">
        <v>123</v>
      </c>
      <c r="C17" s="85" t="s">
        <v>156</v>
      </c>
      <c r="D17" s="107">
        <f t="shared" ref="D17:I17" si="5">+D14+D15</f>
        <v>586.85300000000007</v>
      </c>
      <c r="E17" s="28">
        <f t="shared" si="5"/>
        <v>350.8874450000003</v>
      </c>
      <c r="F17" s="107">
        <f t="shared" si="5"/>
        <v>483.30906899999968</v>
      </c>
      <c r="G17" s="28">
        <f t="shared" si="5"/>
        <v>1063.9080000000001</v>
      </c>
      <c r="H17" s="107">
        <f t="shared" si="5"/>
        <v>2820</v>
      </c>
      <c r="I17" s="28">
        <f t="shared" si="5"/>
        <v>8071.1</v>
      </c>
      <c r="J17" s="107">
        <f t="shared" ref="J17:K17" si="6">+J14+J15</f>
        <v>8872.6430000000037</v>
      </c>
      <c r="K17" s="28">
        <f t="shared" si="6"/>
        <v>5847.2410000000018</v>
      </c>
      <c r="N17" s="107">
        <f>+D17/N$2*1000</f>
        <v>1896.3775609125578</v>
      </c>
      <c r="O17" s="28">
        <f>+E17/O$2*1000</f>
        <v>1117.1913047631188</v>
      </c>
      <c r="P17" s="107">
        <f>+F17/P$2*1000</f>
        <v>1507.6553295692038</v>
      </c>
      <c r="Q17" s="28">
        <f>+G17/Q$2*1000</f>
        <v>3082.451108213821</v>
      </c>
      <c r="R17" s="107">
        <f>+H17/R$2*1000</f>
        <v>7949.2600422832984</v>
      </c>
      <c r="S17" s="28">
        <f>+I17/S$2*1000</f>
        <v>21518.916468925803</v>
      </c>
      <c r="T17" s="107">
        <f>+J17/T$2*1000</f>
        <v>23291.444846957536</v>
      </c>
      <c r="U17" s="28">
        <f>+K17/U$2*1000</f>
        <v>14999.848648093996</v>
      </c>
    </row>
    <row r="18" spans="2:21" x14ac:dyDescent="0.3">
      <c r="B18" s="92" t="s">
        <v>125</v>
      </c>
      <c r="C18" s="91" t="s">
        <v>157</v>
      </c>
      <c r="D18" s="106">
        <v>588.32600000000002</v>
      </c>
      <c r="E18" s="101">
        <v>351.81632500000001</v>
      </c>
      <c r="F18" s="106">
        <v>483.57687199999998</v>
      </c>
      <c r="G18" s="101">
        <v>1062</v>
      </c>
      <c r="H18" s="106">
        <v>2818</v>
      </c>
      <c r="I18" s="101">
        <v>8067</v>
      </c>
      <c r="J18" s="106">
        <v>8960.8950000000004</v>
      </c>
      <c r="K18" s="101">
        <v>5683</v>
      </c>
      <c r="N18" s="129">
        <f>+D18/N$2*1000</f>
        <v>1901.1374652620696</v>
      </c>
      <c r="O18" s="101">
        <f>+E18/O$2*1000</f>
        <v>1120.1487678298522</v>
      </c>
      <c r="P18" s="106">
        <f>+F18/P$2*1000</f>
        <v>1508.4907258945004</v>
      </c>
      <c r="Q18" s="101">
        <f>+G18/Q$2*1000</f>
        <v>3076.9230769230771</v>
      </c>
      <c r="R18" s="106">
        <f>+H18/R$2*1000</f>
        <v>7943.6222692036645</v>
      </c>
      <c r="S18" s="101">
        <f>+I18/S$2*1000</f>
        <v>21507.985176100461</v>
      </c>
      <c r="T18" s="106">
        <f>+J18/T$2*1000</f>
        <v>23523.113876200976</v>
      </c>
      <c r="U18" s="101">
        <f>+K18/U$2*1000</f>
        <v>14578.523421066133</v>
      </c>
    </row>
    <row r="19" spans="2:21" ht="28.8" x14ac:dyDescent="0.3">
      <c r="B19" s="93" t="s">
        <v>158</v>
      </c>
      <c r="C19" s="93" t="s">
        <v>159</v>
      </c>
      <c r="D19" s="108">
        <v>-1.4730000000000001</v>
      </c>
      <c r="E19" s="102">
        <v>-0.92888000000000004</v>
      </c>
      <c r="F19" s="108">
        <v>-0.26780300000000001</v>
      </c>
      <c r="G19" s="102">
        <v>2</v>
      </c>
      <c r="H19" s="108">
        <v>2</v>
      </c>
      <c r="I19" s="102">
        <v>4</v>
      </c>
      <c r="J19" s="108">
        <v>-88.251999999999995</v>
      </c>
      <c r="K19" s="102">
        <v>164</v>
      </c>
      <c r="N19" s="130">
        <f>+D19/N$2*1000</f>
        <v>-4.7599043495120537</v>
      </c>
      <c r="O19" s="102">
        <f>+E19/O$2*1000</f>
        <v>-2.95746306673459</v>
      </c>
      <c r="P19" s="108">
        <f>+F19/P$2*1000</f>
        <v>-0.8353963252955674</v>
      </c>
      <c r="Q19" s="102">
        <f>+G19/Q$2*1000</f>
        <v>5.7945820657685063</v>
      </c>
      <c r="R19" s="108">
        <f>+H19/R$2*1000</f>
        <v>5.6377730796335452</v>
      </c>
      <c r="S19" s="102">
        <f>+I19/S$2*1000</f>
        <v>10.664675927160264</v>
      </c>
      <c r="T19" s="108">
        <f>+J19/T$2*1000</f>
        <v>-231.66902924345041</v>
      </c>
      <c r="U19" s="102">
        <f>+K19/U$2*1000</f>
        <v>420.70699297111486</v>
      </c>
    </row>
    <row r="20" spans="2:21" ht="15" thickBot="1" x14ac:dyDescent="0.35">
      <c r="B20" s="91" t="s">
        <v>160</v>
      </c>
      <c r="C20" s="91" t="s">
        <v>161</v>
      </c>
      <c r="D20" s="106"/>
      <c r="E20" s="101">
        <v>-115.845702</v>
      </c>
      <c r="F20" s="106">
        <v>-1061.3122229999999</v>
      </c>
      <c r="G20" s="101">
        <v>772.60900000000004</v>
      </c>
      <c r="H20" s="106">
        <v>3043</v>
      </c>
      <c r="I20" s="101">
        <v>4334</v>
      </c>
      <c r="J20" s="106">
        <v>-1845.375</v>
      </c>
      <c r="K20" s="101">
        <v>1948</v>
      </c>
      <c r="N20" s="129">
        <f>+D20/N$2*1000</f>
        <v>0</v>
      </c>
      <c r="O20" s="101">
        <f>+E20/O$2*1000</f>
        <v>-368.84138436067246</v>
      </c>
      <c r="P20" s="106">
        <f>+F20/P$2*1000</f>
        <v>-3310.7035062544837</v>
      </c>
      <c r="Q20" s="101">
        <f>+G20/Q$2*1000</f>
        <v>2238.4731276256703</v>
      </c>
      <c r="R20" s="106">
        <f>+H20/R$2*1000</f>
        <v>8577.8717406624382</v>
      </c>
      <c r="S20" s="101">
        <f>+I20/S$2*1000</f>
        <v>11555.176367078146</v>
      </c>
      <c r="T20" s="106">
        <f>+J20/T$2*1000</f>
        <v>-4844.2668136714437</v>
      </c>
      <c r="U20" s="101">
        <f>+K20/U$2*1000</f>
        <v>4997.1781848032424</v>
      </c>
    </row>
    <row r="21" spans="2:21" ht="30" thickTop="1" thickBot="1" x14ac:dyDescent="0.35">
      <c r="B21" s="86" t="s">
        <v>132</v>
      </c>
      <c r="C21" s="86" t="s">
        <v>162</v>
      </c>
      <c r="D21" s="109">
        <f t="shared" ref="D21:I21" si="7">+D17+D20</f>
        <v>586.85300000000007</v>
      </c>
      <c r="E21" s="35">
        <f t="shared" si="7"/>
        <v>235.04174300000028</v>
      </c>
      <c r="F21" s="109">
        <f t="shared" si="7"/>
        <v>-578.00315400000022</v>
      </c>
      <c r="G21" s="35">
        <f t="shared" si="7"/>
        <v>1836.5170000000003</v>
      </c>
      <c r="H21" s="109">
        <f t="shared" si="7"/>
        <v>5863</v>
      </c>
      <c r="I21" s="35">
        <f t="shared" si="7"/>
        <v>12405.1</v>
      </c>
      <c r="J21" s="109">
        <f t="shared" ref="J21:K21" si="8">+J17+J20</f>
        <v>7027.2680000000037</v>
      </c>
      <c r="K21" s="35">
        <f t="shared" si="8"/>
        <v>7795.2410000000018</v>
      </c>
      <c r="N21" s="109">
        <f>+D21/N$2*1000</f>
        <v>1896.3775609125578</v>
      </c>
      <c r="O21" s="35">
        <f>+E21/O$2*1000</f>
        <v>748.34992040244617</v>
      </c>
      <c r="P21" s="109">
        <f>+F21/P$2*1000</f>
        <v>-1803.0481766852802</v>
      </c>
      <c r="Q21" s="35">
        <f>+G21/Q$2*1000</f>
        <v>5320.9242358394904</v>
      </c>
      <c r="R21" s="109">
        <f>+H21/R$2*1000</f>
        <v>16527.131782945737</v>
      </c>
      <c r="S21" s="35">
        <f>+I21/S$2*1000</f>
        <v>33074.092836003947</v>
      </c>
      <c r="T21" s="109">
        <f>+J21/T$2*1000</f>
        <v>18447.178033286094</v>
      </c>
      <c r="U21" s="35">
        <f>+K21/U$2*1000</f>
        <v>19997.026832897242</v>
      </c>
    </row>
    <row r="22" spans="2:21" ht="15" thickTop="1" x14ac:dyDescent="0.3">
      <c r="B22" s="91" t="s">
        <v>125</v>
      </c>
      <c r="C22" s="91" t="s">
        <v>157</v>
      </c>
      <c r="D22" s="106"/>
      <c r="E22" s="101">
        <v>235.97062299999999</v>
      </c>
      <c r="F22" s="106">
        <v>-577.73535100000004</v>
      </c>
      <c r="G22" s="101">
        <v>1835</v>
      </c>
      <c r="H22" s="106">
        <v>5861</v>
      </c>
      <c r="I22" s="101">
        <v>12401</v>
      </c>
      <c r="J22" s="106">
        <v>7115.5200000000041</v>
      </c>
      <c r="K22" s="101">
        <v>7631</v>
      </c>
      <c r="N22" s="129">
        <f>+D22/N$2*1000</f>
        <v>0</v>
      </c>
      <c r="O22" s="101">
        <f>+E22/O$2*1000</f>
        <v>751.30738346917985</v>
      </c>
      <c r="P22" s="106">
        <f>+F22/P$2*1000</f>
        <v>-1802.212780359984</v>
      </c>
      <c r="Q22" s="101">
        <f>+G22/Q$2*1000</f>
        <v>5316.5290453426051</v>
      </c>
      <c r="R22" s="106">
        <f>+H22/R$2*1000</f>
        <v>16521.494009866103</v>
      </c>
      <c r="S22" s="101">
        <f>+I22/S$2*1000</f>
        <v>33063.161543178612</v>
      </c>
      <c r="T22" s="106">
        <f>+J22/T$2*1000</f>
        <v>18678.847062529541</v>
      </c>
      <c r="U22" s="101">
        <f>+K22/U$2*1000</f>
        <v>19575.701605869377</v>
      </c>
    </row>
    <row r="23" spans="2:21" ht="29.4" thickBot="1" x14ac:dyDescent="0.35">
      <c r="B23" s="91" t="s">
        <v>158</v>
      </c>
      <c r="C23" s="93" t="s">
        <v>159</v>
      </c>
      <c r="D23" s="106"/>
      <c r="E23" s="101">
        <v>-0.92888000000000004</v>
      </c>
      <c r="F23" s="106">
        <v>-0.26780300000000001</v>
      </c>
      <c r="G23" s="101">
        <v>2</v>
      </c>
      <c r="H23" s="106">
        <v>2</v>
      </c>
      <c r="I23" s="101">
        <v>4</v>
      </c>
      <c r="J23" s="106">
        <v>-88.251999999999995</v>
      </c>
      <c r="K23" s="101">
        <v>164</v>
      </c>
      <c r="N23" s="129">
        <f>+D23/N$2*1000</f>
        <v>0</v>
      </c>
      <c r="O23" s="101">
        <f>+E23/O$2*1000</f>
        <v>-2.95746306673459</v>
      </c>
      <c r="P23" s="106">
        <f>+F23/P$2*1000</f>
        <v>-0.8353963252955674</v>
      </c>
      <c r="Q23" s="101">
        <f>+G23/Q$2*1000</f>
        <v>5.7945820657685063</v>
      </c>
      <c r="R23" s="106">
        <f>+H23/R$2*1000</f>
        <v>5.6377730796335452</v>
      </c>
      <c r="S23" s="101">
        <f>+I23/S$2*1000</f>
        <v>10.664675927160264</v>
      </c>
      <c r="T23" s="106">
        <f>+J23/T$2*1000</f>
        <v>-231.66902924345041</v>
      </c>
      <c r="U23" s="101">
        <f>+K23/U$2*1000</f>
        <v>420.70699297111486</v>
      </c>
    </row>
    <row r="24" spans="2:21" ht="15.6" thickTop="1" thickBot="1" x14ac:dyDescent="0.35">
      <c r="B24" s="86" t="s">
        <v>139</v>
      </c>
      <c r="C24" s="86" t="s">
        <v>139</v>
      </c>
      <c r="D24" s="109">
        <f>+D12-D10-D8</f>
        <v>1263.3700000000001</v>
      </c>
      <c r="E24" s="35">
        <f>+E12-E10-E8</f>
        <v>936.13325000000032</v>
      </c>
      <c r="F24" s="109">
        <f>+F12-F10-F8</f>
        <v>2122.8434949999996</v>
      </c>
      <c r="G24" s="35">
        <f>+G12-G10-G8</f>
        <v>3137.3770000000004</v>
      </c>
      <c r="H24" s="109">
        <v>6213</v>
      </c>
      <c r="I24" s="35">
        <v>11808</v>
      </c>
      <c r="J24" s="109">
        <v>12766.328000000009</v>
      </c>
      <c r="K24" s="35">
        <v>9763</v>
      </c>
      <c r="N24" s="109">
        <f>+D24/N$2*1000</f>
        <v>4082.4985458540687</v>
      </c>
      <c r="O24" s="35">
        <f>+E24/O$2*1000</f>
        <v>2980.5567052980141</v>
      </c>
      <c r="P24" s="109">
        <f>+F24/P$2*1000</f>
        <v>6622.090323486289</v>
      </c>
      <c r="Q24" s="35">
        <f>+G24/Q$2*1000</f>
        <v>9089.8942488773027</v>
      </c>
      <c r="R24" s="109">
        <f>+H24/R$2*1000</f>
        <v>17513.742071881607</v>
      </c>
      <c r="S24" s="35">
        <f>+I24/S$2*1000</f>
        <v>31482.123336977096</v>
      </c>
      <c r="T24" s="109">
        <f>+J24/T$2*1000</f>
        <v>33512.700162755318</v>
      </c>
      <c r="U24" s="35">
        <f>+K24/U$2*1000</f>
        <v>25044.892514493869</v>
      </c>
    </row>
    <row r="25" spans="2:21" ht="15" thickTop="1" x14ac:dyDescent="0.3">
      <c r="D25" s="103"/>
      <c r="E25" s="103"/>
      <c r="F25" s="103"/>
      <c r="G25" s="103"/>
      <c r="R25" s="103"/>
      <c r="S25" s="103"/>
      <c r="T25" s="103"/>
      <c r="U25" s="103"/>
    </row>
    <row r="26" spans="2:21" x14ac:dyDescent="0.3">
      <c r="D26" s="103"/>
      <c r="E26" s="103"/>
      <c r="F26" s="103"/>
      <c r="G26" s="103"/>
      <c r="H26" s="296"/>
      <c r="I26" s="296"/>
      <c r="J26" s="296"/>
      <c r="K26" s="296"/>
      <c r="R26" s="103"/>
      <c r="S26" s="103"/>
      <c r="T26" s="103"/>
      <c r="U26" s="103"/>
    </row>
    <row r="27" spans="2:21" ht="18" x14ac:dyDescent="0.35">
      <c r="H27" s="297"/>
      <c r="I27" s="297"/>
      <c r="J27" s="297"/>
      <c r="K27" s="297"/>
      <c r="N27" s="421" t="s">
        <v>290</v>
      </c>
      <c r="O27" s="421"/>
      <c r="R27" s="103"/>
      <c r="S27" s="103"/>
      <c r="T27" s="103"/>
      <c r="U27" s="103"/>
    </row>
    <row r="28" spans="2:21" x14ac:dyDescent="0.3">
      <c r="C28" s="243" t="s">
        <v>406</v>
      </c>
      <c r="H28" s="81"/>
      <c r="I28" s="81"/>
      <c r="J28" s="81"/>
      <c r="K28" s="81"/>
      <c r="M28" t="s">
        <v>320</v>
      </c>
      <c r="N28" s="179">
        <v>308.97000000000003</v>
      </c>
      <c r="O28" s="178"/>
      <c r="P28" s="178"/>
      <c r="Q28" s="178">
        <v>357.08</v>
      </c>
      <c r="R28" s="178">
        <v>359.08</v>
      </c>
      <c r="S28" s="178">
        <v>407.08</v>
      </c>
      <c r="T28" s="178">
        <v>382.95</v>
      </c>
      <c r="U28" s="103"/>
    </row>
    <row r="29" spans="2:21" x14ac:dyDescent="0.3">
      <c r="B29" s="88" t="s">
        <v>165</v>
      </c>
      <c r="C29" s="88" t="s">
        <v>166</v>
      </c>
      <c r="D29" s="98" t="s">
        <v>287</v>
      </c>
      <c r="E29" s="98" t="s">
        <v>288</v>
      </c>
      <c r="F29" s="98" t="s">
        <v>289</v>
      </c>
      <c r="G29" s="98" t="s">
        <v>405</v>
      </c>
      <c r="H29" s="98" t="s">
        <v>460</v>
      </c>
      <c r="I29" s="98" t="s">
        <v>483</v>
      </c>
      <c r="J29" s="98" t="s">
        <v>508</v>
      </c>
      <c r="K29" s="98" t="s">
        <v>516</v>
      </c>
      <c r="N29" s="3" t="s">
        <v>287</v>
      </c>
      <c r="O29" s="98" t="s">
        <v>288</v>
      </c>
      <c r="P29" s="98" t="s">
        <v>289</v>
      </c>
      <c r="Q29" s="98" t="s">
        <v>405</v>
      </c>
      <c r="R29" s="98" t="s">
        <v>460</v>
      </c>
      <c r="S29" s="98" t="s">
        <v>483</v>
      </c>
      <c r="T29" s="98" t="s">
        <v>508</v>
      </c>
      <c r="U29" s="98" t="s">
        <v>516</v>
      </c>
    </row>
    <row r="30" spans="2:21" x14ac:dyDescent="0.3">
      <c r="B30" s="88"/>
      <c r="C30" s="88"/>
      <c r="D30" s="131" t="s">
        <v>170</v>
      </c>
      <c r="E30" s="131" t="s">
        <v>170</v>
      </c>
      <c r="F30" s="131" t="s">
        <v>170</v>
      </c>
      <c r="G30" s="131" t="s">
        <v>170</v>
      </c>
      <c r="H30" s="131" t="s">
        <v>170</v>
      </c>
      <c r="I30" s="131" t="s">
        <v>170</v>
      </c>
      <c r="J30" s="131" t="s">
        <v>170</v>
      </c>
      <c r="K30" s="131" t="s">
        <v>170</v>
      </c>
      <c r="N30" s="132" t="s">
        <v>180</v>
      </c>
      <c r="O30" s="98" t="s">
        <v>180</v>
      </c>
      <c r="P30" s="131" t="s">
        <v>180</v>
      </c>
      <c r="Q30" s="131" t="s">
        <v>180</v>
      </c>
      <c r="R30" s="131" t="s">
        <v>180</v>
      </c>
      <c r="S30" s="131" t="s">
        <v>180</v>
      </c>
      <c r="T30" s="131" t="s">
        <v>180</v>
      </c>
      <c r="U30" s="131" t="s">
        <v>180</v>
      </c>
    </row>
    <row r="31" spans="2:21" x14ac:dyDescent="0.3">
      <c r="B31" s="89" t="s">
        <v>97</v>
      </c>
      <c r="C31" s="89" t="s">
        <v>141</v>
      </c>
      <c r="D31" s="104">
        <f>'éves P&amp;L_mérleg'!H73-'féléves P&amp;L_mérleg'!D5</f>
        <v>9754.5142699999997</v>
      </c>
      <c r="E31" s="99">
        <f>'éves P&amp;L_mérleg'!I73-'féléves P&amp;L_mérleg'!E5</f>
        <v>9409.1235209999995</v>
      </c>
      <c r="F31" s="104">
        <f>'éves P&amp;L_mérleg'!J73-'féléves P&amp;L_mérleg'!F5</f>
        <v>13431.907663</v>
      </c>
      <c r="G31" s="99">
        <f>'éves P&amp;L_mérleg'!K73-'féléves P&amp;L_mérleg'!G5</f>
        <v>16817.773999999998</v>
      </c>
      <c r="H31" s="104">
        <f>'éves P&amp;L_mérleg'!L73-'féléves P&amp;L_mérleg'!H5</f>
        <v>24468.447999999997</v>
      </c>
      <c r="I31" s="99">
        <f>'éves P&amp;L_mérleg'!M73-'féléves P&amp;L_mérleg'!I5</f>
        <v>65039</v>
      </c>
      <c r="J31" s="104">
        <f>'éves P&amp;L_mérleg'!N73-'féléves P&amp;L_mérleg'!J5</f>
        <v>40100.781000000003</v>
      </c>
      <c r="K31" s="99"/>
      <c r="N31" s="127">
        <f t="shared" ref="N31:N48" si="9">+D31/N$2*1000</f>
        <v>31521.082757060685</v>
      </c>
      <c r="O31" s="99">
        <f t="shared" ref="O31:O48" si="10">+E31/O$2*1000</f>
        <v>29957.728989429444</v>
      </c>
      <c r="P31" s="104">
        <f>+F31/'éves P&amp;L_mérleg'!U$3*1000</f>
        <v>41777.573521818915</v>
      </c>
      <c r="Q31" s="99">
        <f>+G31/Q$28*1000</f>
        <v>47098.056457936596</v>
      </c>
      <c r="R31" s="104">
        <f>+H31/R$28*1000</f>
        <v>68142.051910437789</v>
      </c>
      <c r="S31" s="99">
        <f>+I31/S$28*1000</f>
        <v>159769.57846123615</v>
      </c>
      <c r="T31" s="104">
        <f>+J31/T$28*1000</f>
        <v>104715.44849197024</v>
      </c>
      <c r="U31" s="99"/>
    </row>
    <row r="32" spans="2:21" x14ac:dyDescent="0.3">
      <c r="B32" s="90" t="s">
        <v>169</v>
      </c>
      <c r="C32" s="90" t="s">
        <v>142</v>
      </c>
      <c r="D32" s="105">
        <f>'éves P&amp;L_mérleg'!H74-'féléves P&amp;L_mérleg'!D6</f>
        <v>-8055.2179829999995</v>
      </c>
      <c r="E32" s="100">
        <f>'éves P&amp;L_mérleg'!I74-'féléves P&amp;L_mérleg'!E6</f>
        <v>-7050.5744019999993</v>
      </c>
      <c r="F32" s="105">
        <f>'éves P&amp;L_mérleg'!J74-'féléves P&amp;L_mérleg'!F6</f>
        <v>-9831.9897329999985</v>
      </c>
      <c r="G32" s="100">
        <f>'éves P&amp;L_mérleg'!K74-'féléves P&amp;L_mérleg'!G6</f>
        <v>-12135.867</v>
      </c>
      <c r="H32" s="105">
        <f>'éves P&amp;L_mérleg'!L74-'féléves P&amp;L_mérleg'!H6</f>
        <v>-14641.444</v>
      </c>
      <c r="I32" s="100">
        <f>'éves P&amp;L_mérleg'!M74-'féléves P&amp;L_mérleg'!I6</f>
        <v>-48433.828999999998</v>
      </c>
      <c r="J32" s="105">
        <f>'éves P&amp;L_mérleg'!N74-'féléves P&amp;L_mérleg'!J6</f>
        <v>-25924.268000000004</v>
      </c>
      <c r="K32" s="100"/>
      <c r="N32" s="128">
        <f t="shared" si="9"/>
        <v>-26029.916574032184</v>
      </c>
      <c r="O32" s="100">
        <f t="shared" si="10"/>
        <v>-22448.339282985227</v>
      </c>
      <c r="P32" s="105">
        <f>+F32/'éves P&amp;L_mérleg'!U$3*1000</f>
        <v>-30580.665400765134</v>
      </c>
      <c r="Q32" s="100">
        <f t="shared" ref="Q32:Q48" si="11">+G32/Q$28*1000</f>
        <v>-33986.40920802061</v>
      </c>
      <c r="R32" s="105">
        <f t="shared" ref="R32:R48" si="12">+H32/R$28*1000</f>
        <v>-40774.88024952657</v>
      </c>
      <c r="S32" s="100">
        <f>+I32/S$28*1000</f>
        <v>-118978.65038813009</v>
      </c>
      <c r="T32" s="105">
        <f>+J32/T$28*1000</f>
        <v>-67696.221438830151</v>
      </c>
      <c r="U32" s="100"/>
    </row>
    <row r="33" spans="2:21" x14ac:dyDescent="0.3">
      <c r="B33" s="91" t="s">
        <v>143</v>
      </c>
      <c r="C33" s="91" t="s">
        <v>144</v>
      </c>
      <c r="D33" s="106">
        <f>'éves P&amp;L_mérleg'!H75-'féléves P&amp;L_mérleg'!D7</f>
        <v>-1046.6405560000001</v>
      </c>
      <c r="E33" s="101">
        <f>'éves P&amp;L_mérleg'!I75-'féléves P&amp;L_mérleg'!E7</f>
        <v>-1261.1346440000002</v>
      </c>
      <c r="F33" s="106">
        <f>'éves P&amp;L_mérleg'!J75-'féléves P&amp;L_mérleg'!F7</f>
        <v>-1567.6506150000005</v>
      </c>
      <c r="G33" s="101">
        <f>'éves P&amp;L_mérleg'!K75-'féléves P&amp;L_mérleg'!G7</f>
        <v>-2212.5609999999997</v>
      </c>
      <c r="H33" s="106">
        <f>'éves P&amp;L_mérleg'!L75-'féléves P&amp;L_mérleg'!H7</f>
        <v>-2003.2370000000001</v>
      </c>
      <c r="I33" s="101">
        <f>'éves P&amp;L_mérleg'!M75-'féléves P&amp;L_mérleg'!I7</f>
        <v>-3425.6490000000003</v>
      </c>
      <c r="J33" s="106">
        <f>'éves P&amp;L_mérleg'!N75-'féléves P&amp;L_mérleg'!J7</f>
        <v>-4145.478000000001</v>
      </c>
      <c r="K33" s="101"/>
      <c r="N33" s="129">
        <f t="shared" si="9"/>
        <v>-3382.1513475085635</v>
      </c>
      <c r="O33" s="101">
        <f t="shared" si="10"/>
        <v>-4015.3293555781975</v>
      </c>
      <c r="P33" s="106">
        <f>+F33/'éves P&amp;L_mérleg'!U$3*1000</f>
        <v>-4875.9000186619414</v>
      </c>
      <c r="Q33" s="101">
        <f t="shared" si="11"/>
        <v>-6196.2613419961908</v>
      </c>
      <c r="R33" s="106">
        <f t="shared" si="12"/>
        <v>-5578.804166202518</v>
      </c>
      <c r="S33" s="101">
        <f>+I33/S$28*1000</f>
        <v>-8415.1739215878952</v>
      </c>
      <c r="T33" s="106">
        <f>+J33/T$28*1000</f>
        <v>-10825.115550332945</v>
      </c>
      <c r="U33" s="101"/>
    </row>
    <row r="34" spans="2:21" x14ac:dyDescent="0.3">
      <c r="B34" s="91" t="s">
        <v>145</v>
      </c>
      <c r="C34" s="91" t="s">
        <v>146</v>
      </c>
      <c r="D34" s="106">
        <f>'éves P&amp;L_mérleg'!H76-'féléves P&amp;L_mérleg'!D8</f>
        <v>-287.41808499999996</v>
      </c>
      <c r="E34" s="101">
        <f>'éves P&amp;L_mérleg'!I76-'féléves P&amp;L_mérleg'!E8</f>
        <v>-393.55976299999998</v>
      </c>
      <c r="F34" s="106">
        <f>'éves P&amp;L_mérleg'!J76-'féléves P&amp;L_mérleg'!F8</f>
        <v>-1137.4078079999999</v>
      </c>
      <c r="G34" s="101">
        <f>'éves P&amp;L_mérleg'!K76-'féléves P&amp;L_mérleg'!G8</f>
        <v>-1555.4350000000002</v>
      </c>
      <c r="H34" s="106">
        <f>'éves P&amp;L_mérleg'!L76-'féléves P&amp;L_mérleg'!H8</f>
        <v>-1749.6689999999999</v>
      </c>
      <c r="I34" s="101">
        <f>'éves P&amp;L_mérleg'!M76-'féléves P&amp;L_mérleg'!I8</f>
        <v>-1572.1619999999998</v>
      </c>
      <c r="J34" s="106">
        <f>'éves P&amp;L_mérleg'!N76-'féléves P&amp;L_mérleg'!J8</f>
        <v>-2180.4540000000002</v>
      </c>
      <c r="K34" s="101"/>
      <c r="N34" s="129">
        <f t="shared" si="9"/>
        <v>-928.77297550571961</v>
      </c>
      <c r="O34" s="101">
        <f t="shared" si="10"/>
        <v>-1253.0557915180843</v>
      </c>
      <c r="P34" s="106">
        <f>+F34/'éves P&amp;L_mérleg'!U$3*1000</f>
        <v>-3537.7058505178688</v>
      </c>
      <c r="Q34" s="101">
        <f t="shared" si="11"/>
        <v>-4355.9846532989814</v>
      </c>
      <c r="R34" s="106">
        <f t="shared" si="12"/>
        <v>-4872.6439790575914</v>
      </c>
      <c r="S34" s="101">
        <f>+I34/S$28*1000</f>
        <v>-3862.0467721332411</v>
      </c>
      <c r="T34" s="106">
        <f>+J34/T$28*1000</f>
        <v>-5693.8347042694877</v>
      </c>
      <c r="U34" s="101"/>
    </row>
    <row r="35" spans="2:21" x14ac:dyDescent="0.3">
      <c r="B35" s="91" t="s">
        <v>107</v>
      </c>
      <c r="C35" s="91" t="s">
        <v>147</v>
      </c>
      <c r="D35" s="106">
        <f>'éves P&amp;L_mérleg'!H77-'féléves P&amp;L_mérleg'!D9</f>
        <v>18.927790000000016</v>
      </c>
      <c r="E35" s="101">
        <f>'éves P&amp;L_mérleg'!I77-'féléves P&amp;L_mérleg'!E9</f>
        <v>-265.50372500000003</v>
      </c>
      <c r="F35" s="106">
        <f>'éves P&amp;L_mérleg'!J77-'féléves P&amp;L_mérleg'!F9</f>
        <v>-456.07374499999992</v>
      </c>
      <c r="G35" s="101">
        <f>'éves P&amp;L_mérleg'!K77-'féléves P&amp;L_mérleg'!G9</f>
        <v>-695.90899999999999</v>
      </c>
      <c r="H35" s="106">
        <f>'éves P&amp;L_mérleg'!L77-'féléves P&amp;L_mérleg'!H9</f>
        <v>-1267.605</v>
      </c>
      <c r="I35" s="101">
        <f>'éves P&amp;L_mérleg'!M77-'féléves P&amp;L_mérleg'!I9</f>
        <v>-4968.4619999999995</v>
      </c>
      <c r="J35" s="106">
        <f>'éves P&amp;L_mérleg'!N77-'féléves P&amp;L_mérleg'!J9</f>
        <v>-3608.3220000000001</v>
      </c>
      <c r="K35" s="101"/>
      <c r="N35" s="129">
        <f t="shared" si="9"/>
        <v>61.163930718025</v>
      </c>
      <c r="O35" s="101">
        <f t="shared" si="10"/>
        <v>-845.33789161996958</v>
      </c>
      <c r="P35" s="106">
        <f>+F35/'éves P&amp;L_mérleg'!U$3*1000</f>
        <v>-1418.5367329165499</v>
      </c>
      <c r="Q35" s="101">
        <f t="shared" si="11"/>
        <v>-1948.888204323961</v>
      </c>
      <c r="R35" s="106">
        <f t="shared" si="12"/>
        <v>-3530.1464854628498</v>
      </c>
      <c r="S35" s="101">
        <f>+I35/S$28*1000</f>
        <v>-12205.124299891912</v>
      </c>
      <c r="T35" s="106">
        <f>+J35/T$28*1000</f>
        <v>-9422.4363493928722</v>
      </c>
      <c r="U35" s="101"/>
    </row>
    <row r="36" spans="2:21" x14ac:dyDescent="0.3">
      <c r="B36" s="91" t="s">
        <v>148</v>
      </c>
      <c r="C36" s="91" t="s">
        <v>149</v>
      </c>
      <c r="D36" s="106">
        <f>'éves P&amp;L_mérleg'!H78-'féléves P&amp;L_mérleg'!D10</f>
        <v>-1.35</v>
      </c>
      <c r="E36" s="101">
        <f>'éves P&amp;L_mérleg'!I78-'féléves P&amp;L_mérleg'!E10</f>
        <v>22.455480999999999</v>
      </c>
      <c r="F36" s="106">
        <f>'éves P&amp;L_mérleg'!J78-'féléves P&amp;L_mérleg'!F10</f>
        <v>80.143831000000006</v>
      </c>
      <c r="G36" s="101">
        <f>'éves P&amp;L_mérleg'!K78-'féléves P&amp;L_mérleg'!G10</f>
        <v>0.38100000000000001</v>
      </c>
      <c r="H36" s="106">
        <f>'éves P&amp;L_mérleg'!L78-'féléves P&amp;L_mérleg'!H10</f>
        <v>0</v>
      </c>
      <c r="I36" s="101">
        <f>'éves P&amp;L_mérleg'!M78-'féléves P&amp;L_mérleg'!I10</f>
        <v>0</v>
      </c>
      <c r="J36" s="106">
        <f>'éves P&amp;L_mérleg'!N78-'féléves P&amp;L_mérleg'!J10</f>
        <v>0</v>
      </c>
      <c r="K36" s="101"/>
      <c r="N36" s="129">
        <f t="shared" si="9"/>
        <v>-4.3624377948684812</v>
      </c>
      <c r="O36" s="101">
        <f t="shared" si="10"/>
        <v>71.496055145185935</v>
      </c>
      <c r="P36" s="106">
        <f>+F36/'éves P&amp;L_mérleg'!U$3*1000</f>
        <v>249.27321389692392</v>
      </c>
      <c r="Q36" s="101">
        <f t="shared" si="11"/>
        <v>1.0669877898510141</v>
      </c>
      <c r="R36" s="106">
        <f t="shared" si="12"/>
        <v>0</v>
      </c>
      <c r="S36" s="101">
        <f>+I36/S$28*1000</f>
        <v>0</v>
      </c>
      <c r="T36" s="106">
        <f>+J36/T$28*1000</f>
        <v>0</v>
      </c>
      <c r="U36" s="101"/>
    </row>
    <row r="37" spans="2:21" x14ac:dyDescent="0.3">
      <c r="B37" s="84" t="s">
        <v>150</v>
      </c>
      <c r="C37" s="84" t="s">
        <v>151</v>
      </c>
      <c r="D37" s="107">
        <f>'éves P&amp;L_mérleg'!H80-'féléves P&amp;L_mérleg'!D12</f>
        <v>382.81543600000009</v>
      </c>
      <c r="E37" s="28">
        <f>'éves P&amp;L_mérleg'!I80-'féléves P&amp;L_mérleg'!E12</f>
        <v>460.806468</v>
      </c>
      <c r="F37" s="107">
        <f>'éves P&amp;L_mérleg'!J80-'féléves P&amp;L_mérleg'!F12</f>
        <v>518.92959300000098</v>
      </c>
      <c r="G37" s="28">
        <f>'éves P&amp;L_mérleg'!K80-'féléves P&amp;L_mérleg'!G12</f>
        <v>730.60899999999924</v>
      </c>
      <c r="H37" s="107">
        <f>'éves P&amp;L_mérleg'!L80-'féléves P&amp;L_mérleg'!H12</f>
        <v>4916.3189999999959</v>
      </c>
      <c r="I37" s="28">
        <f>'éves P&amp;L_mérleg'!M80-'féléves P&amp;L_mérleg'!I12</f>
        <v>6841.3130000000001</v>
      </c>
      <c r="J37" s="107">
        <f>'éves P&amp;L_mérleg'!N80-'féléves P&amp;L_mérleg'!J12</f>
        <v>4484.7899999999954</v>
      </c>
      <c r="K37" s="28"/>
      <c r="N37" s="107">
        <f t="shared" si="9"/>
        <v>1237.0433529373752</v>
      </c>
      <c r="O37" s="28">
        <f t="shared" si="10"/>
        <v>1467.1627228731534</v>
      </c>
      <c r="P37" s="107">
        <f>+F37/'éves P&amp;L_mérleg'!U$3*1000</f>
        <v>1614.0387328543466</v>
      </c>
      <c r="Q37" s="28">
        <f t="shared" si="11"/>
        <v>2046.065307494117</v>
      </c>
      <c r="R37" s="107">
        <f t="shared" si="12"/>
        <v>13691.430878912766</v>
      </c>
      <c r="S37" s="28">
        <f>+I37/S$28*1000</f>
        <v>16805.819494939569</v>
      </c>
      <c r="T37" s="107">
        <f>+J37/T$28*1000</f>
        <v>11711.163337250282</v>
      </c>
      <c r="U37" s="28"/>
    </row>
    <row r="38" spans="2:21" x14ac:dyDescent="0.3">
      <c r="B38" s="91" t="s">
        <v>152</v>
      </c>
      <c r="C38" s="91" t="s">
        <v>153</v>
      </c>
      <c r="D38" s="106">
        <f>'éves P&amp;L_mérleg'!H81-'féléves P&amp;L_mérleg'!D13</f>
        <v>-152.69403100000002</v>
      </c>
      <c r="E38" s="101">
        <f>'éves P&amp;L_mérleg'!I81-'féléves P&amp;L_mérleg'!E13</f>
        <v>-206.37521100000001</v>
      </c>
      <c r="F38" s="106">
        <f>'éves P&amp;L_mérleg'!J81-'féléves P&amp;L_mérleg'!F13</f>
        <v>-582.48294899999996</v>
      </c>
      <c r="G38" s="101">
        <f>'éves P&amp;L_mérleg'!K81-'féléves P&amp;L_mérleg'!G13</f>
        <v>-778.31600000000003</v>
      </c>
      <c r="H38" s="106">
        <f>'éves P&amp;L_mérleg'!L81-'féléves P&amp;L_mérleg'!H13</f>
        <v>-1306.0509999999999</v>
      </c>
      <c r="I38" s="101">
        <f>'éves P&amp;L_mérleg'!M81-'féléves P&amp;L_mérleg'!I13</f>
        <v>-580.73099999999999</v>
      </c>
      <c r="J38" s="106">
        <f>'éves P&amp;L_mérleg'!N81-'féléves P&amp;L_mérleg'!J13</f>
        <v>335.21299999999997</v>
      </c>
      <c r="K38" s="101"/>
      <c r="N38" s="129">
        <f t="shared" si="9"/>
        <v>-493.4208976927552</v>
      </c>
      <c r="O38" s="101">
        <f t="shared" si="10"/>
        <v>-657.07848637289862</v>
      </c>
      <c r="P38" s="106">
        <f>+F38/'éves P&amp;L_mérleg'!U$3*1000</f>
        <v>-1811.7102080806196</v>
      </c>
      <c r="Q38" s="101">
        <f t="shared" si="11"/>
        <v>-2179.6684216422091</v>
      </c>
      <c r="R38" s="106">
        <f t="shared" si="12"/>
        <v>-3637.2145482900746</v>
      </c>
      <c r="S38" s="101">
        <f>+I38/S$28*1000</f>
        <v>-1426.5770855851429</v>
      </c>
      <c r="T38" s="106">
        <f>+J38/T$28*1000</f>
        <v>875.34403969186565</v>
      </c>
      <c r="U38" s="101"/>
    </row>
    <row r="39" spans="2:21" x14ac:dyDescent="0.3">
      <c r="B39" s="85" t="s">
        <v>119</v>
      </c>
      <c r="C39" s="85" t="s">
        <v>154</v>
      </c>
      <c r="D39" s="107">
        <f>'éves P&amp;L_mérleg'!H82-'féléves P&amp;L_mérleg'!D14</f>
        <v>230.1214050000001</v>
      </c>
      <c r="E39" s="28">
        <f>'éves P&amp;L_mérleg'!I82-'féléves P&amp;L_mérleg'!E14</f>
        <v>254.43125700000007</v>
      </c>
      <c r="F39" s="107">
        <f>'éves P&amp;L_mérleg'!J82-'féléves P&amp;L_mérleg'!F14</f>
        <v>-63.553355999999098</v>
      </c>
      <c r="G39" s="28">
        <f>'éves P&amp;L_mérleg'!K82-'féléves P&amp;L_mérleg'!G14</f>
        <v>-47.707000000000789</v>
      </c>
      <c r="H39" s="107">
        <f>'éves P&amp;L_mérleg'!L82-'féléves P&amp;L_mérleg'!H14</f>
        <v>3610.2679999999964</v>
      </c>
      <c r="I39" s="28">
        <f>'éves P&amp;L_mérleg'!M82-'féléves P&amp;L_mérleg'!I14</f>
        <v>6260.5820000000003</v>
      </c>
      <c r="J39" s="107">
        <f>'éves P&amp;L_mérleg'!N82-'féléves P&amp;L_mérleg'!J14</f>
        <v>4820.002999999997</v>
      </c>
      <c r="K39" s="28"/>
      <c r="N39" s="107">
        <f t="shared" si="9"/>
        <v>743.62245524462003</v>
      </c>
      <c r="O39" s="28">
        <f t="shared" si="10"/>
        <v>810.08423650025497</v>
      </c>
      <c r="P39" s="107">
        <f>+F39/'éves P&amp;L_mérleg'!U$3*1000</f>
        <v>-197.6714752262732</v>
      </c>
      <c r="Q39" s="28">
        <f t="shared" si="11"/>
        <v>-133.60311414809229</v>
      </c>
      <c r="R39" s="107">
        <f t="shared" si="12"/>
        <v>10054.216330622692</v>
      </c>
      <c r="S39" s="28">
        <f>+I39/S$28*1000</f>
        <v>15379.242409354427</v>
      </c>
      <c r="T39" s="107">
        <f>+J39/T$28*1000</f>
        <v>12586.507376942151</v>
      </c>
      <c r="U39" s="28"/>
    </row>
    <row r="40" spans="2:21" x14ac:dyDescent="0.3">
      <c r="B40" s="91" t="s">
        <v>121</v>
      </c>
      <c r="C40" s="91" t="s">
        <v>155</v>
      </c>
      <c r="D40" s="106">
        <f>'éves P&amp;L_mérleg'!H83-'féléves P&amp;L_mérleg'!D15</f>
        <v>97.980283999999983</v>
      </c>
      <c r="E40" s="174">
        <f>'éves P&amp;L_mérleg'!I83-'féléves P&amp;L_mérleg'!E15</f>
        <v>-75.239702000000023</v>
      </c>
      <c r="F40" s="106">
        <f>'éves P&amp;L_mérleg'!J83-'féléves P&amp;L_mérleg'!F15</f>
        <v>-146.12516700000003</v>
      </c>
      <c r="G40" s="174">
        <f>'éves P&amp;L_mérleg'!K83-'féléves P&amp;L_mérleg'!G15</f>
        <v>-425.65999999999997</v>
      </c>
      <c r="H40" s="106">
        <f>'éves P&amp;L_mérleg'!L83-'féléves P&amp;L_mérleg'!H15</f>
        <v>-572.81799999999998</v>
      </c>
      <c r="I40" s="174">
        <f>'éves P&amp;L_mérleg'!M83-'féléves P&amp;L_mérleg'!I15</f>
        <v>-1488.444</v>
      </c>
      <c r="J40" s="106">
        <f>'éves P&amp;L_mérleg'!N83-'féléves P&amp;L_mérleg'!J15</f>
        <v>-930.5319999999997</v>
      </c>
      <c r="K40" s="174"/>
      <c r="N40" s="129">
        <f t="shared" si="9"/>
        <v>316.6169585729981</v>
      </c>
      <c r="O40" s="101">
        <f t="shared" si="10"/>
        <v>-239.55585201222627</v>
      </c>
      <c r="P40" s="106">
        <f>+F40/'éves P&amp;L_mérleg'!U$3*1000</f>
        <v>-454.49649155547274</v>
      </c>
      <c r="Q40" s="101">
        <f t="shared" si="11"/>
        <v>-1192.0578021731824</v>
      </c>
      <c r="R40" s="106">
        <f t="shared" si="12"/>
        <v>-1595.2378300100256</v>
      </c>
      <c r="S40" s="101">
        <f>+I40/S$28*1000</f>
        <v>-3656.3918640070751</v>
      </c>
      <c r="T40" s="106">
        <f>+J40/T$28*1000</f>
        <v>-2429.9046872959907</v>
      </c>
      <c r="U40" s="101"/>
    </row>
    <row r="41" spans="2:21" ht="28.8" x14ac:dyDescent="0.3">
      <c r="B41" s="85" t="s">
        <v>123</v>
      </c>
      <c r="C41" s="85" t="s">
        <v>156</v>
      </c>
      <c r="D41" s="107">
        <f>'éves P&amp;L_mérleg'!H85-'féléves P&amp;L_mérleg'!D17</f>
        <v>328.10168900000008</v>
      </c>
      <c r="E41" s="175">
        <f>'éves P&amp;L_mérleg'!I85-'féléves P&amp;L_mérleg'!E17</f>
        <v>179.19155500000011</v>
      </c>
      <c r="F41" s="107">
        <f>'éves P&amp;L_mérleg'!J85-'féléves P&amp;L_mérleg'!F17</f>
        <v>-209.67852299999913</v>
      </c>
      <c r="G41" s="175">
        <f>'éves P&amp;L_mérleg'!K85-'féléves P&amp;L_mérleg'!G17</f>
        <v>-473.36700000000076</v>
      </c>
      <c r="H41" s="107">
        <f>'éves P&amp;L_mérleg'!L85-'féléves P&amp;L_mérleg'!H17</f>
        <v>3037.4499999999962</v>
      </c>
      <c r="I41" s="175">
        <f>'éves P&amp;L_mérleg'!M85-'féléves P&amp;L_mérleg'!I17</f>
        <v>4772.1380000000008</v>
      </c>
      <c r="J41" s="107">
        <f>'éves P&amp;L_mérleg'!N85-'féléves P&amp;L_mérleg'!J17</f>
        <v>3889.4709999999977</v>
      </c>
      <c r="K41" s="175"/>
      <c r="N41" s="107">
        <f t="shared" si="9"/>
        <v>1060.239413817618</v>
      </c>
      <c r="O41" s="28">
        <f t="shared" si="10"/>
        <v>570.52838448802891</v>
      </c>
      <c r="P41" s="107">
        <f>+F41/'éves P&amp;L_mérleg'!U$3*1000</f>
        <v>-652.16796678174592</v>
      </c>
      <c r="Q41" s="28">
        <f t="shared" si="11"/>
        <v>-1325.6609163212747</v>
      </c>
      <c r="R41" s="107">
        <f t="shared" si="12"/>
        <v>8458.9785006126658</v>
      </c>
      <c r="S41" s="28">
        <f>+I41/S$28*1000</f>
        <v>11722.850545347354</v>
      </c>
      <c r="T41" s="107">
        <f>+J41/T$28*1000</f>
        <v>10156.602689646163</v>
      </c>
      <c r="U41" s="28"/>
    </row>
    <row r="42" spans="2:21" x14ac:dyDescent="0.3">
      <c r="B42" s="92" t="s">
        <v>125</v>
      </c>
      <c r="C42" s="91" t="s">
        <v>157</v>
      </c>
      <c r="D42" s="106">
        <f>'éves P&amp;L_mérleg'!H86-'féléves P&amp;L_mérleg'!D18</f>
        <v>324.19996700000002</v>
      </c>
      <c r="E42" s="174">
        <f>'éves P&amp;L_mérleg'!I86-'féléves P&amp;L_mérleg'!E18</f>
        <v>159.40167500000001</v>
      </c>
      <c r="F42" s="106">
        <f>'éves P&amp;L_mérleg'!J86-'féléves P&amp;L_mérleg'!F18</f>
        <v>-212.86032600000186</v>
      </c>
      <c r="G42" s="174">
        <f>'éves P&amp;L_mérleg'!K86-'féléves P&amp;L_mérleg'!G18</f>
        <v>-475.33699999999999</v>
      </c>
      <c r="H42" s="106">
        <f>'éves P&amp;L_mérleg'!L86-'féléves P&amp;L_mérleg'!H18</f>
        <v>3037.1840000000002</v>
      </c>
      <c r="I42" s="174">
        <f>'éves P&amp;L_mérleg'!M86-'féléves P&amp;L_mérleg'!I18</f>
        <v>4820.893</v>
      </c>
      <c r="J42" s="106">
        <f>'éves P&amp;L_mérleg'!N86-'féléves P&amp;L_mérleg'!J18</f>
        <v>3842.5829999999987</v>
      </c>
      <c r="K42" s="174"/>
      <c r="N42" s="129">
        <f t="shared" si="9"/>
        <v>1047.6312512117884</v>
      </c>
      <c r="O42" s="101">
        <f t="shared" si="10"/>
        <v>507.5193422058075</v>
      </c>
      <c r="P42" s="106">
        <f>+F42/'éves P&amp;L_mérleg'!U$3*1000</f>
        <v>-662.06440235141019</v>
      </c>
      <c r="Q42" s="101">
        <f t="shared" si="11"/>
        <v>-1331.1778873081664</v>
      </c>
      <c r="R42" s="106">
        <f t="shared" si="12"/>
        <v>8458.2377186142367</v>
      </c>
      <c r="S42" s="101">
        <f>+I42/S$28*1000</f>
        <v>11842.618158592906</v>
      </c>
      <c r="T42" s="106">
        <f>+J42/T$28*1000</f>
        <v>10034.163728946334</v>
      </c>
      <c r="U42" s="101"/>
    </row>
    <row r="43" spans="2:21" ht="28.8" x14ac:dyDescent="0.3">
      <c r="B43" s="93" t="s">
        <v>158</v>
      </c>
      <c r="C43" s="93" t="s">
        <v>159</v>
      </c>
      <c r="D43" s="108">
        <f>'éves P&amp;L_mérleg'!H87-'féléves P&amp;L_mérleg'!D19</f>
        <v>3.9017220000000004</v>
      </c>
      <c r="E43" s="176">
        <f>'éves P&amp;L_mérleg'!I87-'féléves P&amp;L_mérleg'!E19</f>
        <v>19.78988</v>
      </c>
      <c r="F43" s="108">
        <f>'éves P&amp;L_mérleg'!J87-'féléves P&amp;L_mérleg'!F19</f>
        <v>3.1818030000000004</v>
      </c>
      <c r="G43" s="176">
        <f>'éves P&amp;L_mérleg'!K87-'féléves P&amp;L_mérleg'!G19</f>
        <v>1.8780000000000001</v>
      </c>
      <c r="H43" s="108">
        <f>'éves P&amp;L_mérleg'!L87-'féléves P&amp;L_mérleg'!H19</f>
        <v>0.26600000000000001</v>
      </c>
      <c r="I43" s="176">
        <f>'éves P&amp;L_mérleg'!M87-'féléves P&amp;L_mérleg'!I19</f>
        <v>-48.601999999999997</v>
      </c>
      <c r="J43" s="108">
        <f>'éves P&amp;L_mérleg'!N87-'féléves P&amp;L_mérleg'!J19</f>
        <v>46.887999999999998</v>
      </c>
      <c r="K43" s="176"/>
      <c r="N43" s="130">
        <f t="shared" si="9"/>
        <v>12.608162605829511</v>
      </c>
      <c r="O43" s="102">
        <f t="shared" si="10"/>
        <v>63.009042282221095</v>
      </c>
      <c r="P43" s="108">
        <f>+F43/'éves P&amp;L_mérleg'!U$3*1000</f>
        <v>9.89643556965569</v>
      </c>
      <c r="Q43" s="102">
        <f t="shared" si="11"/>
        <v>5.2593256413128717</v>
      </c>
      <c r="R43" s="108">
        <f t="shared" si="12"/>
        <v>0.740781998440459</v>
      </c>
      <c r="S43" s="102">
        <f>+I43/S$28*1000</f>
        <v>-119.39176574629064</v>
      </c>
      <c r="T43" s="108">
        <f>+J43/T$28*1000</f>
        <v>122.43896069983026</v>
      </c>
      <c r="U43" s="102"/>
    </row>
    <row r="44" spans="2:21" ht="15" thickBot="1" x14ac:dyDescent="0.35">
      <c r="B44" s="91" t="s">
        <v>160</v>
      </c>
      <c r="C44" s="91" t="s">
        <v>161</v>
      </c>
      <c r="D44" s="106">
        <f>'éves P&amp;L_mérleg'!H88-'féléves P&amp;L_mérleg'!D20</f>
        <v>-479.54411900000002</v>
      </c>
      <c r="E44" s="174">
        <f>'éves P&amp;L_mérleg'!I88-'féléves P&amp;L_mérleg'!E20</f>
        <v>-143.78629799999999</v>
      </c>
      <c r="F44" s="106">
        <f>'éves P&amp;L_mérleg'!J88-'féléves P&amp;L_mérleg'!F20</f>
        <v>-354.33777700000019</v>
      </c>
      <c r="G44" s="174">
        <f>'éves P&amp;L_mérleg'!K88-'féléves P&amp;L_mérleg'!G20</f>
        <v>1341.683</v>
      </c>
      <c r="H44" s="106">
        <f>'éves P&amp;L_mérleg'!L88-'féléves P&amp;L_mérleg'!H20</f>
        <v>1863.63</v>
      </c>
      <c r="I44" s="174">
        <f>'éves P&amp;L_mérleg'!M88-'féléves P&amp;L_mérleg'!I20</f>
        <v>-7571.1859999999997</v>
      </c>
      <c r="J44" s="106">
        <f>'éves P&amp;L_mérleg'!N88-'féléves P&amp;L_mérleg'!J20</f>
        <v>-2612.8940000000002</v>
      </c>
      <c r="K44" s="174"/>
      <c r="N44" s="129">
        <f t="shared" si="9"/>
        <v>-1549.6158437277841</v>
      </c>
      <c r="O44" s="101">
        <f t="shared" si="10"/>
        <v>-457.80150916963828</v>
      </c>
      <c r="P44" s="106">
        <f>+F44/'éves P&amp;L_mérleg'!U$3*1000</f>
        <v>-1102.1049951789996</v>
      </c>
      <c r="Q44" s="101">
        <f t="shared" si="11"/>
        <v>3757.3736977708077</v>
      </c>
      <c r="R44" s="106">
        <f t="shared" si="12"/>
        <v>5190.0133674947092</v>
      </c>
      <c r="S44" s="101">
        <f>+I44/S$28*1000</f>
        <v>-18598.766827159281</v>
      </c>
      <c r="T44" s="106">
        <f>+J44/T$28*1000</f>
        <v>-6823.0682856769818</v>
      </c>
      <c r="U44" s="101"/>
    </row>
    <row r="45" spans="2:21" ht="30" thickTop="1" thickBot="1" x14ac:dyDescent="0.35">
      <c r="B45" s="86" t="s">
        <v>132</v>
      </c>
      <c r="C45" s="86" t="s">
        <v>162</v>
      </c>
      <c r="D45" s="109">
        <f>'éves P&amp;L_mérleg'!H89-'féléves P&amp;L_mérleg'!D21</f>
        <v>-151.44242999999994</v>
      </c>
      <c r="E45" s="177">
        <f>'éves P&amp;L_mérleg'!I89-'féléves P&amp;L_mérleg'!E21</f>
        <v>35.40525700000012</v>
      </c>
      <c r="F45" s="109">
        <f>'éves P&amp;L_mérleg'!J89-'féléves P&amp;L_mérleg'!F21</f>
        <v>-564.01629999999932</v>
      </c>
      <c r="G45" s="177">
        <f>'éves P&amp;L_mérleg'!K89-'féléves P&amp;L_mérleg'!G21</f>
        <v>868.31599999999889</v>
      </c>
      <c r="H45" s="109">
        <f>'éves P&amp;L_mérleg'!L89-'féléves P&amp;L_mérleg'!H21</f>
        <v>4901.0799999999963</v>
      </c>
      <c r="I45" s="177">
        <f>'éves P&amp;L_mérleg'!M89-'féléves P&amp;L_mérleg'!I21</f>
        <v>-2799.0479999999989</v>
      </c>
      <c r="J45" s="109">
        <f>'éves P&amp;L_mérleg'!N89-'féléves P&amp;L_mérleg'!J21</f>
        <v>1276.5769999999975</v>
      </c>
      <c r="K45" s="177"/>
      <c r="N45" s="109">
        <f t="shared" si="9"/>
        <v>-489.37642991016594</v>
      </c>
      <c r="O45" s="35">
        <f t="shared" si="10"/>
        <v>112.72687531839061</v>
      </c>
      <c r="P45" s="109">
        <f>+F45/'éves P&amp;L_mérleg'!U$3*1000</f>
        <v>-1754.2729619607455</v>
      </c>
      <c r="Q45" s="35">
        <f t="shared" si="11"/>
        <v>2431.7127814495325</v>
      </c>
      <c r="R45" s="109">
        <f t="shared" si="12"/>
        <v>13648.991868107374</v>
      </c>
      <c r="S45" s="35">
        <f>+I45/S$28*1000</f>
        <v>-6875.9162818119257</v>
      </c>
      <c r="T45" s="109">
        <f>+J45/T$28*1000</f>
        <v>3333.5344039691799</v>
      </c>
      <c r="U45" s="35"/>
    </row>
    <row r="46" spans="2:21" ht="15" thickTop="1" x14ac:dyDescent="0.3">
      <c r="B46" s="91" t="s">
        <v>125</v>
      </c>
      <c r="C46" s="91" t="s">
        <v>157</v>
      </c>
      <c r="D46" s="106">
        <f>'éves P&amp;L_mérleg'!H90-'féléves P&amp;L_mérleg'!D22</f>
        <v>432.98184800000001</v>
      </c>
      <c r="E46" s="174">
        <f>'éves P&amp;L_mérleg'!I90-'féléves P&amp;L_mérleg'!E22</f>
        <v>15.615377000000024</v>
      </c>
      <c r="F46" s="106">
        <f>'éves P&amp;L_mérleg'!J90-'féléves P&amp;L_mérleg'!F22</f>
        <v>577.73535100000004</v>
      </c>
      <c r="G46" s="174">
        <f>'éves P&amp;L_mérleg'!K90-'féléves P&amp;L_mérleg'!G22</f>
        <v>-1835</v>
      </c>
      <c r="H46" s="106">
        <f>'éves P&amp;L_mérleg'!L90-'féléves P&amp;L_mérleg'!H22</f>
        <v>-5861</v>
      </c>
      <c r="I46" s="174">
        <f>'éves P&amp;L_mérleg'!M90-'féléves P&amp;L_mérleg'!I22</f>
        <v>-2750</v>
      </c>
      <c r="J46" s="106">
        <f>'éves P&amp;L_mérleg'!N90-'féléves P&amp;L_mérleg'!J22</f>
        <v>1229.4799999999959</v>
      </c>
      <c r="K46" s="174"/>
      <c r="N46" s="129">
        <f t="shared" si="9"/>
        <v>1399.1528727460741</v>
      </c>
      <c r="O46" s="101">
        <f t="shared" si="10"/>
        <v>49.71783303616921</v>
      </c>
      <c r="P46" s="106">
        <f>+F46/'éves P&amp;L_mérleg'!U$3*1000</f>
        <v>1796.9436440546174</v>
      </c>
      <c r="Q46" s="101">
        <f t="shared" si="11"/>
        <v>-5138.9044471827046</v>
      </c>
      <c r="R46" s="106">
        <f t="shared" si="12"/>
        <v>-16322.268018268911</v>
      </c>
      <c r="S46" s="101">
        <f>+I46/S$28*1000</f>
        <v>-6755.4289083226886</v>
      </c>
      <c r="T46" s="106">
        <f>+J46/T$28*1000</f>
        <v>3210.549680114887</v>
      </c>
      <c r="U46" s="101"/>
    </row>
    <row r="47" spans="2:21" ht="29.4" thickBot="1" x14ac:dyDescent="0.35">
      <c r="B47" s="91" t="s">
        <v>158</v>
      </c>
      <c r="C47" s="93" t="s">
        <v>159</v>
      </c>
      <c r="D47" s="106">
        <f>'éves P&amp;L_mérleg'!H91-'féléves P&amp;L_mérleg'!D23</f>
        <v>2.428722</v>
      </c>
      <c r="E47" s="174">
        <f>'éves P&amp;L_mérleg'!I91-'féléves P&amp;L_mérleg'!E23</f>
        <v>19.78988</v>
      </c>
      <c r="F47" s="106">
        <f>'éves P&amp;L_mérleg'!J91-'féléves P&amp;L_mérleg'!F23</f>
        <v>0.26780300000000001</v>
      </c>
      <c r="G47" s="174">
        <f>'éves P&amp;L_mérleg'!K91-'féléves P&amp;L_mérleg'!G23</f>
        <v>-2</v>
      </c>
      <c r="H47" s="106">
        <f>'éves P&amp;L_mérleg'!L91-'féléves P&amp;L_mérleg'!H23</f>
        <v>-2</v>
      </c>
      <c r="I47" s="174">
        <f>'éves P&amp;L_mérleg'!M91-'féléves P&amp;L_mérleg'!I23</f>
        <v>-49</v>
      </c>
      <c r="J47" s="106">
        <f>'éves P&amp;L_mérleg'!N91-'féléves P&amp;L_mérleg'!J23</f>
        <v>47.251999999999995</v>
      </c>
      <c r="K47" s="174"/>
      <c r="N47" s="129">
        <f t="shared" si="9"/>
        <v>7.8482582563174574</v>
      </c>
      <c r="O47" s="101">
        <f t="shared" si="10"/>
        <v>63.009042282221095</v>
      </c>
      <c r="P47" s="106">
        <f>+F47/'éves P&amp;L_mérleg'!U$3*1000</f>
        <v>0.83295387390749909</v>
      </c>
      <c r="Q47" s="101">
        <f t="shared" si="11"/>
        <v>-5.6009857734961352</v>
      </c>
      <c r="R47" s="106">
        <f t="shared" si="12"/>
        <v>-5.5697894619583384</v>
      </c>
      <c r="S47" s="101">
        <f>+I47/S$28*1000</f>
        <v>-120.36946054829518</v>
      </c>
      <c r="T47" s="106">
        <f>+J47/T$28*1000</f>
        <v>123.38947643295468</v>
      </c>
      <c r="U47" s="101"/>
    </row>
    <row r="48" spans="2:21" ht="15.6" thickTop="1" thickBot="1" x14ac:dyDescent="0.35">
      <c r="B48" s="86" t="s">
        <v>139</v>
      </c>
      <c r="C48" s="86" t="s">
        <v>139</v>
      </c>
      <c r="D48" s="109">
        <f>'éves P&amp;L_mérleg'!H92-'féléves P&amp;L_mérleg'!D24</f>
        <v>671.58352099999979</v>
      </c>
      <c r="E48" s="177">
        <f>'éves P&amp;L_mérleg'!I92-'féléves P&amp;L_mérleg'!E24</f>
        <v>864.43374999999969</v>
      </c>
      <c r="F48" s="109">
        <f>'éves P&amp;L_mérleg'!J92-'féléves P&amp;L_mérleg'!F24</f>
        <v>1656.3365050000002</v>
      </c>
      <c r="G48" s="177">
        <f>'éves P&amp;L_mérleg'!K92-'féléves P&amp;L_mérleg'!G24</f>
        <v>2374.6229999999996</v>
      </c>
      <c r="H48" s="109">
        <f>'éves P&amp;L_mérleg'!L92-'féléves P&amp;L_mérleg'!H24</f>
        <v>6666.9879999999994</v>
      </c>
      <c r="I48" s="177">
        <f>'éves P&amp;L_mérleg'!M92-'féléves P&amp;L_mérleg'!I24</f>
        <v>8412.6280000000006</v>
      </c>
      <c r="J48" s="109">
        <f>'éves P&amp;L_mérleg'!N92-'féléves P&amp;L_mérleg'!J24</f>
        <v>6665.6719999999914</v>
      </c>
      <c r="K48" s="177"/>
      <c r="N48" s="109">
        <f t="shared" si="9"/>
        <v>2170.1787662379625</v>
      </c>
      <c r="O48" s="35">
        <f t="shared" si="10"/>
        <v>2752.2725101884862</v>
      </c>
      <c r="P48" s="109">
        <f>+F48/'éves P&amp;L_mérleg'!U$3*1000</f>
        <v>5151.7417965226596</v>
      </c>
      <c r="Q48" s="35">
        <f t="shared" si="11"/>
        <v>6650.1148202083559</v>
      </c>
      <c r="R48" s="109">
        <f t="shared" si="12"/>
        <v>18566.859752701348</v>
      </c>
      <c r="S48" s="35">
        <f>+I48/S$28*1000</f>
        <v>20665.785594969053</v>
      </c>
      <c r="T48" s="109">
        <f>+J48/T$28*1000</f>
        <v>17406.115680898267</v>
      </c>
      <c r="U48" s="35"/>
    </row>
    <row r="49" spans="1:21" ht="15" thickTop="1" x14ac:dyDescent="0.3">
      <c r="B49" s="142"/>
      <c r="C49" s="142"/>
      <c r="D49" s="145"/>
      <c r="E49" s="145"/>
      <c r="F49" s="145"/>
      <c r="G49" s="145"/>
      <c r="H49" s="145"/>
      <c r="I49" s="145"/>
      <c r="J49" s="145"/>
      <c r="K49" s="81"/>
      <c r="N49" s="146"/>
      <c r="O49" s="146"/>
      <c r="P49" s="146"/>
      <c r="Q49" s="146"/>
      <c r="R49" s="146"/>
      <c r="S49" s="146"/>
      <c r="T49" s="146"/>
      <c r="U49" s="146"/>
    </row>
    <row r="50" spans="1:21" ht="18" x14ac:dyDescent="0.35">
      <c r="D50" s="103">
        <v>1000</v>
      </c>
      <c r="E50" s="103"/>
      <c r="F50" s="103"/>
      <c r="G50" s="103"/>
      <c r="H50" s="145"/>
      <c r="I50" s="145"/>
      <c r="J50" s="145"/>
      <c r="K50" s="145"/>
      <c r="N50" s="421" t="s">
        <v>290</v>
      </c>
      <c r="O50" s="421"/>
      <c r="R50" s="103"/>
      <c r="S50" s="103"/>
      <c r="T50" s="103"/>
      <c r="U50" s="103"/>
    </row>
    <row r="51" spans="1:21" x14ac:dyDescent="0.3">
      <c r="D51" s="103"/>
      <c r="E51" s="103"/>
      <c r="F51" s="103"/>
      <c r="G51" s="103"/>
      <c r="H51" s="145"/>
      <c r="I51" s="145"/>
      <c r="J51" s="145"/>
      <c r="K51" s="145"/>
      <c r="M51" t="s">
        <v>181</v>
      </c>
      <c r="N51" s="103">
        <v>308.87</v>
      </c>
      <c r="O51" s="103">
        <v>328.6</v>
      </c>
      <c r="P51" s="103">
        <v>322.76</v>
      </c>
      <c r="Q51" s="103">
        <f>+'negyedéves P&amp;L_mérleg'!AV32</f>
        <v>356.57</v>
      </c>
      <c r="R51" s="298">
        <v>351.9</v>
      </c>
      <c r="S51" s="298">
        <v>396.75</v>
      </c>
      <c r="T51" s="298">
        <v>371.13</v>
      </c>
      <c r="U51" s="298">
        <v>395.15</v>
      </c>
    </row>
    <row r="52" spans="1:21" x14ac:dyDescent="0.3">
      <c r="A52" s="1" t="s">
        <v>0</v>
      </c>
      <c r="B52" s="147"/>
      <c r="C52" s="147" t="s">
        <v>1</v>
      </c>
      <c r="D52" s="133">
        <v>42916</v>
      </c>
      <c r="E52" s="133">
        <v>43281</v>
      </c>
      <c r="F52" s="133">
        <v>43646</v>
      </c>
      <c r="G52" s="133">
        <v>44012</v>
      </c>
      <c r="H52" s="133">
        <v>44377</v>
      </c>
      <c r="I52" s="133">
        <v>44742</v>
      </c>
      <c r="J52" s="133">
        <v>45107</v>
      </c>
      <c r="K52" s="133">
        <v>45473</v>
      </c>
      <c r="L52" s="134"/>
      <c r="M52" s="134"/>
      <c r="N52" s="135">
        <v>42916</v>
      </c>
      <c r="O52" s="133">
        <v>43281</v>
      </c>
      <c r="P52" s="135">
        <v>43646</v>
      </c>
      <c r="Q52" s="135">
        <v>44012</v>
      </c>
      <c r="R52" s="135">
        <v>44377</v>
      </c>
      <c r="S52" s="135">
        <v>44742</v>
      </c>
      <c r="T52" s="135">
        <v>45107</v>
      </c>
      <c r="U52" s="135">
        <v>45473</v>
      </c>
    </row>
    <row r="53" spans="1:21" ht="15" customHeight="1" thickBot="1" x14ac:dyDescent="0.35">
      <c r="B53" s="147" t="s">
        <v>93</v>
      </c>
      <c r="C53" s="148" t="s">
        <v>166</v>
      </c>
      <c r="D53" s="131" t="s">
        <v>170</v>
      </c>
      <c r="E53" s="131" t="s">
        <v>170</v>
      </c>
      <c r="F53" s="131" t="s">
        <v>170</v>
      </c>
      <c r="G53" s="131" t="s">
        <v>170</v>
      </c>
      <c r="H53" s="131" t="s">
        <v>170</v>
      </c>
      <c r="I53" s="131" t="s">
        <v>170</v>
      </c>
      <c r="J53" s="131" t="s">
        <v>170</v>
      </c>
      <c r="K53" s="131" t="s">
        <v>170</v>
      </c>
      <c r="N53" s="132" t="s">
        <v>170</v>
      </c>
      <c r="O53" s="98" t="s">
        <v>170</v>
      </c>
      <c r="P53" s="98" t="s">
        <v>170</v>
      </c>
      <c r="Q53" s="98" t="s">
        <v>170</v>
      </c>
      <c r="R53" s="98" t="s">
        <v>170</v>
      </c>
      <c r="S53" s="98" t="s">
        <v>170</v>
      </c>
      <c r="T53" s="98" t="s">
        <v>170</v>
      </c>
      <c r="U53" s="98" t="s">
        <v>170</v>
      </c>
    </row>
    <row r="54" spans="1:21" ht="15" thickBot="1" x14ac:dyDescent="0.35">
      <c r="B54" s="95" t="s">
        <v>4</v>
      </c>
      <c r="C54" s="95" t="s">
        <v>5</v>
      </c>
      <c r="D54" s="111">
        <f t="shared" ref="D54:I54" si="13">SUM(D55:D66)</f>
        <v>6414.7109999999993</v>
      </c>
      <c r="E54" s="119">
        <f t="shared" si="13"/>
        <v>8980.4130000000005</v>
      </c>
      <c r="F54" s="111">
        <f t="shared" si="13"/>
        <v>24087.058890999997</v>
      </c>
      <c r="G54" s="119">
        <f t="shared" si="13"/>
        <v>25768.704999999994</v>
      </c>
      <c r="H54" s="111">
        <f t="shared" si="13"/>
        <v>29983.1</v>
      </c>
      <c r="I54" s="119">
        <f t="shared" si="13"/>
        <v>31029.1</v>
      </c>
      <c r="J54" s="111">
        <f t="shared" ref="J54:K54" si="14">SUM(J55:J66)</f>
        <v>37925.5</v>
      </c>
      <c r="K54" s="119">
        <f t="shared" si="14"/>
        <v>48541.1</v>
      </c>
      <c r="L54" s="136"/>
      <c r="M54" s="136"/>
      <c r="N54" s="111">
        <f t="shared" ref="N54:P54" si="15">SUM(N55:N66)</f>
        <v>19521.335970785156</v>
      </c>
      <c r="O54" s="119">
        <f t="shared" si="15"/>
        <v>29075.057467542982</v>
      </c>
      <c r="P54" s="111">
        <f t="shared" si="15"/>
        <v>74628.38917771721</v>
      </c>
      <c r="Q54" s="299">
        <f t="shared" ref="Q54" si="16">SUM(Q55:Q66)</f>
        <v>72268.29234091485</v>
      </c>
      <c r="R54" s="111">
        <f t="shared" ref="R54:S54" si="17">SUM(R55:R66)</f>
        <v>85203.46689400397</v>
      </c>
      <c r="S54" s="299">
        <f t="shared" si="17"/>
        <v>78208.191556395686</v>
      </c>
      <c r="T54" s="111">
        <f t="shared" ref="T54:U54" si="18">SUM(T55:T66)</f>
        <v>99666.154716676101</v>
      </c>
      <c r="U54" s="299">
        <f t="shared" si="18"/>
        <v>120263.44426167279</v>
      </c>
    </row>
    <row r="55" spans="1:21" ht="18" customHeight="1" x14ac:dyDescent="0.3">
      <c r="B55" s="94" t="s">
        <v>6</v>
      </c>
      <c r="C55" s="94" t="s">
        <v>286</v>
      </c>
      <c r="D55" s="112">
        <v>4931.8789999999999</v>
      </c>
      <c r="E55" s="120">
        <v>6213.2340000000004</v>
      </c>
      <c r="F55" s="112">
        <v>16693.211686999999</v>
      </c>
      <c r="G55" s="120">
        <v>19841.204000000002</v>
      </c>
      <c r="H55" s="112">
        <v>24787</v>
      </c>
      <c r="I55" s="120">
        <v>25357</v>
      </c>
      <c r="J55" s="112">
        <v>30068</v>
      </c>
      <c r="K55" s="120">
        <v>39772</v>
      </c>
      <c r="L55" s="136"/>
      <c r="M55" s="136"/>
      <c r="N55" s="112">
        <f t="shared" ref="N55:N60" si="19">+D55/O$51*1000</f>
        <v>15008.761412051126</v>
      </c>
      <c r="O55" s="120">
        <f t="shared" ref="O55:O60" si="20">+E55/N$51*1000</f>
        <v>20116.016447048922</v>
      </c>
      <c r="P55" s="112">
        <f t="shared" ref="P55:P61" si="21">F55/$P$51*1000</f>
        <v>51720.199798611975</v>
      </c>
      <c r="Q55" s="300">
        <f>G55/$Q$51*1000</f>
        <v>55644.62517878678</v>
      </c>
      <c r="R55" s="112">
        <f>H55/R$51*1000</f>
        <v>70437.624325092358</v>
      </c>
      <c r="S55" s="300">
        <f>I55/S$51*1000</f>
        <v>63911.783238815377</v>
      </c>
      <c r="T55" s="112">
        <f>J55/T$51*1000</f>
        <v>81017.433244415704</v>
      </c>
      <c r="U55" s="300">
        <f>K55/U$51*1000</f>
        <v>100650.3859293939</v>
      </c>
    </row>
    <row r="56" spans="1:21" ht="16.2" customHeight="1" x14ac:dyDescent="0.3">
      <c r="B56" s="94" t="s">
        <v>8</v>
      </c>
      <c r="C56" s="94" t="s">
        <v>9</v>
      </c>
      <c r="D56" s="112">
        <v>32.802</v>
      </c>
      <c r="E56" s="120">
        <v>45.884</v>
      </c>
      <c r="F56" s="112">
        <v>42.802802999999997</v>
      </c>
      <c r="G56" s="120">
        <v>85.727999999999994</v>
      </c>
      <c r="H56" s="112">
        <v>89</v>
      </c>
      <c r="I56" s="120">
        <v>0</v>
      </c>
      <c r="J56" s="112">
        <v>0</v>
      </c>
      <c r="K56" s="120">
        <v>0</v>
      </c>
      <c r="L56" s="136"/>
      <c r="M56" s="136"/>
      <c r="N56" s="112">
        <f t="shared" si="19"/>
        <v>99.823493609251358</v>
      </c>
      <c r="O56" s="120">
        <f t="shared" si="20"/>
        <v>148.55440800336712</v>
      </c>
      <c r="P56" s="112">
        <f t="shared" si="21"/>
        <v>132.61495538480605</v>
      </c>
      <c r="Q56" s="300">
        <f t="shared" ref="Q56:Q65" si="22">G56/$Q$51*1000</f>
        <v>240.42404016041729</v>
      </c>
      <c r="R56" s="112">
        <f>H56/R$51*1000</f>
        <v>252.91275930662121</v>
      </c>
      <c r="S56" s="300">
        <f>I56/S$51*1000</f>
        <v>0</v>
      </c>
      <c r="T56" s="112">
        <f>J56/T$51*1000</f>
        <v>0</v>
      </c>
      <c r="U56" s="300">
        <f>K56/U$51*1000</f>
        <v>0</v>
      </c>
    </row>
    <row r="57" spans="1:21" x14ac:dyDescent="0.3">
      <c r="B57" s="94" t="s">
        <v>10</v>
      </c>
      <c r="C57" s="94" t="s">
        <v>11</v>
      </c>
      <c r="D57" s="112">
        <v>586.62</v>
      </c>
      <c r="E57" s="120">
        <v>251.33500000000001</v>
      </c>
      <c r="F57" s="112">
        <v>254.418553</v>
      </c>
      <c r="G57" s="120">
        <v>104.376</v>
      </c>
      <c r="H57" s="112">
        <v>0</v>
      </c>
      <c r="I57" s="120">
        <v>0</v>
      </c>
      <c r="J57" s="112">
        <v>0</v>
      </c>
      <c r="K57" s="120">
        <v>0</v>
      </c>
      <c r="L57" s="136"/>
      <c r="M57" s="136"/>
      <c r="N57" s="112">
        <f t="shared" si="19"/>
        <v>1785.2099817407181</v>
      </c>
      <c r="O57" s="120">
        <f t="shared" si="20"/>
        <v>813.7242205458607</v>
      </c>
      <c r="P57" s="112">
        <f t="shared" si="21"/>
        <v>788.25924216135832</v>
      </c>
      <c r="Q57" s="300">
        <f t="shared" si="22"/>
        <v>292.72232661188548</v>
      </c>
      <c r="R57" s="112">
        <f>H57/R$51*1000</f>
        <v>0</v>
      </c>
      <c r="S57" s="300">
        <f>I57/S$51*1000</f>
        <v>0</v>
      </c>
      <c r="T57" s="112">
        <f>J57/T$51*1000</f>
        <v>0</v>
      </c>
      <c r="U57" s="300">
        <f>K57/U$51*1000</f>
        <v>0</v>
      </c>
    </row>
    <row r="58" spans="1:21" x14ac:dyDescent="0.3">
      <c r="B58" s="94" t="s">
        <v>13</v>
      </c>
      <c r="C58" s="94" t="s">
        <v>14</v>
      </c>
      <c r="D58" s="112">
        <v>54.981000000000002</v>
      </c>
      <c r="E58" s="120">
        <v>4.0190000000000001</v>
      </c>
      <c r="F58" s="112">
        <v>16.534867999999999</v>
      </c>
      <c r="G58" s="120">
        <v>3.0910000000000002</v>
      </c>
      <c r="H58" s="112">
        <v>0</v>
      </c>
      <c r="I58" s="120">
        <v>0</v>
      </c>
      <c r="J58" s="112">
        <v>0</v>
      </c>
      <c r="K58" s="120">
        <v>0</v>
      </c>
      <c r="L58" s="136"/>
      <c r="M58" s="136"/>
      <c r="N58" s="112">
        <f t="shared" si="19"/>
        <v>167.31892878880097</v>
      </c>
      <c r="O58" s="120">
        <f t="shared" si="20"/>
        <v>13.011946773723572</v>
      </c>
      <c r="P58" s="112">
        <f t="shared" si="21"/>
        <v>51.229607138431035</v>
      </c>
      <c r="Q58" s="300">
        <f t="shared" si="22"/>
        <v>8.6687046021819008</v>
      </c>
      <c r="R58" s="112">
        <f>H58/R$51*1000</f>
        <v>0</v>
      </c>
      <c r="S58" s="300">
        <f>I58/S$51*1000</f>
        <v>0</v>
      </c>
      <c r="T58" s="112">
        <f>J58/T$51*1000</f>
        <v>0</v>
      </c>
      <c r="U58" s="300">
        <f>K58/U$51*1000</f>
        <v>0</v>
      </c>
    </row>
    <row r="59" spans="1:21" x14ac:dyDescent="0.3">
      <c r="B59" s="94" t="s">
        <v>15</v>
      </c>
      <c r="C59" s="94" t="s">
        <v>16</v>
      </c>
      <c r="D59" s="112">
        <v>212.035</v>
      </c>
      <c r="E59" s="120">
        <v>581.45799999999997</v>
      </c>
      <c r="F59" s="112">
        <v>4641.5200830000003</v>
      </c>
      <c r="G59" s="120">
        <v>3003.0479999999998</v>
      </c>
      <c r="H59" s="112">
        <v>2790</v>
      </c>
      <c r="I59" s="120">
        <v>2393</v>
      </c>
      <c r="J59" s="112">
        <v>2603</v>
      </c>
      <c r="K59" s="120">
        <v>2868</v>
      </c>
      <c r="L59" s="136"/>
      <c r="M59" s="136"/>
      <c r="N59" s="112">
        <f t="shared" si="19"/>
        <v>645.26780279975651</v>
      </c>
      <c r="O59" s="120">
        <f t="shared" si="20"/>
        <v>1882.5331045423638</v>
      </c>
      <c r="P59" s="112">
        <f t="shared" si="21"/>
        <v>14380.716578882144</v>
      </c>
      <c r="Q59" s="300">
        <f t="shared" si="22"/>
        <v>8422.0433575455027</v>
      </c>
      <c r="R59" s="112">
        <f>H59/R$51*1000</f>
        <v>7928.3887468030689</v>
      </c>
      <c r="S59" s="300">
        <f>I59/S$51*1000</f>
        <v>6031.5059861373657</v>
      </c>
      <c r="T59" s="112">
        <f>J59/T$51*1000</f>
        <v>7013.7148707999895</v>
      </c>
      <c r="U59" s="300">
        <f>K59/U$51*1000</f>
        <v>7258.0032898899162</v>
      </c>
    </row>
    <row r="60" spans="1:21" x14ac:dyDescent="0.3">
      <c r="B60" s="94" t="s">
        <v>17</v>
      </c>
      <c r="C60" s="94" t="s">
        <v>18</v>
      </c>
      <c r="D60" s="112">
        <v>321.904</v>
      </c>
      <c r="E60" s="120">
        <v>1411.4659999999999</v>
      </c>
      <c r="F60" s="112">
        <v>1428.56431</v>
      </c>
      <c r="G60" s="120">
        <v>1359.6210000000001</v>
      </c>
      <c r="H60" s="112">
        <v>1124</v>
      </c>
      <c r="I60" s="120">
        <v>990</v>
      </c>
      <c r="J60" s="112">
        <v>863</v>
      </c>
      <c r="K60" s="120">
        <v>737</v>
      </c>
      <c r="L60" s="136"/>
      <c r="M60" s="136"/>
      <c r="N60" s="112">
        <f t="shared" si="19"/>
        <v>979.62264150943395</v>
      </c>
      <c r="O60" s="120">
        <f t="shared" si="20"/>
        <v>4569.7736911969432</v>
      </c>
      <c r="P60" s="112">
        <f t="shared" si="21"/>
        <v>4426.0884558185653</v>
      </c>
      <c r="Q60" s="300">
        <f t="shared" si="22"/>
        <v>3813.0549401239591</v>
      </c>
      <c r="R60" s="112">
        <f>H60/R$51*1000</f>
        <v>3194.089229894857</v>
      </c>
      <c r="S60" s="300">
        <f>I60/S$51*1000</f>
        <v>2495.2741020793951</v>
      </c>
      <c r="T60" s="112">
        <f>J60/T$51*1000</f>
        <v>2325.3307466386445</v>
      </c>
      <c r="U60" s="300">
        <f>K60/U$51*1000</f>
        <v>1865.1145134758954</v>
      </c>
    </row>
    <row r="61" spans="1:21" x14ac:dyDescent="0.3">
      <c r="B61" s="94" t="s">
        <v>284</v>
      </c>
      <c r="C61" s="94" t="s">
        <v>308</v>
      </c>
      <c r="D61" s="112"/>
      <c r="E61" s="120"/>
      <c r="F61" s="112">
        <v>630.11357999999996</v>
      </c>
      <c r="G61" s="120">
        <v>939.65700000000004</v>
      </c>
      <c r="H61" s="112">
        <v>1000</v>
      </c>
      <c r="I61" s="120">
        <v>1777</v>
      </c>
      <c r="J61" s="112">
        <v>2412</v>
      </c>
      <c r="K61" s="120">
        <v>2591</v>
      </c>
      <c r="L61" s="136"/>
      <c r="M61" s="136"/>
      <c r="N61" s="112"/>
      <c r="O61" s="120"/>
      <c r="P61" s="112">
        <f t="shared" si="21"/>
        <v>1952.2666377494113</v>
      </c>
      <c r="Q61" s="300">
        <f t="shared" si="22"/>
        <v>2635.2665675743892</v>
      </c>
      <c r="R61" s="112">
        <f>H61/R$51*1000</f>
        <v>2841.716396703609</v>
      </c>
      <c r="S61" s="300">
        <f>I61/S$51*1000</f>
        <v>4478.8909892879656</v>
      </c>
      <c r="T61" s="112">
        <f>J61/T$51*1000</f>
        <v>6499.0704065960708</v>
      </c>
      <c r="U61" s="300">
        <f>K61/U$51*1000</f>
        <v>6557.0036694925984</v>
      </c>
    </row>
    <row r="62" spans="1:21" x14ac:dyDescent="0.3">
      <c r="B62" s="94" t="s">
        <v>19</v>
      </c>
      <c r="C62" t="s">
        <v>19</v>
      </c>
      <c r="D62" s="112"/>
      <c r="E62" s="120"/>
      <c r="F62" s="112"/>
      <c r="G62" s="120">
        <v>186.31899999999999</v>
      </c>
      <c r="H62" s="112">
        <v>0</v>
      </c>
      <c r="I62" s="120">
        <v>0</v>
      </c>
      <c r="J62" s="112">
        <v>936.4</v>
      </c>
      <c r="K62" s="120">
        <v>1019</v>
      </c>
      <c r="L62" s="136"/>
      <c r="M62" s="136"/>
      <c r="N62" s="112"/>
      <c r="O62" s="120"/>
      <c r="P62" s="112"/>
      <c r="Q62" s="300">
        <f t="shared" si="22"/>
        <v>522.53134026979274</v>
      </c>
      <c r="R62" s="112"/>
      <c r="S62" s="300"/>
      <c r="T62" s="112"/>
      <c r="U62" s="300"/>
    </row>
    <row r="63" spans="1:21" x14ac:dyDescent="0.3">
      <c r="B63" s="94" t="s">
        <v>21</v>
      </c>
      <c r="C63" t="s">
        <v>22</v>
      </c>
      <c r="D63" s="112">
        <v>60.573999999999998</v>
      </c>
      <c r="E63" s="120">
        <v>285.91199999999998</v>
      </c>
      <c r="F63" s="112">
        <v>179.63820100000001</v>
      </c>
      <c r="G63" s="120">
        <v>174.24700000000001</v>
      </c>
      <c r="H63" s="112">
        <v>95</v>
      </c>
      <c r="I63" s="120">
        <v>20</v>
      </c>
      <c r="J63" s="112">
        <v>79</v>
      </c>
      <c r="K63" s="120">
        <v>154</v>
      </c>
      <c r="L63" s="136"/>
      <c r="M63" s="136"/>
      <c r="N63" s="112">
        <f>+D63/O$51*1000</f>
        <v>184.33962264150941</v>
      </c>
      <c r="O63" s="120">
        <f>+E63/N$51*1000</f>
        <v>925.67099426943366</v>
      </c>
      <c r="P63" s="112">
        <f t="shared" ref="P63:P65" si="23">F63/$P$51*1000</f>
        <v>556.56897075226175</v>
      </c>
      <c r="Q63" s="300">
        <f t="shared" si="22"/>
        <v>488.67543539837902</v>
      </c>
      <c r="R63" s="112">
        <f>H63/R$51*1000</f>
        <v>269.96305768684289</v>
      </c>
      <c r="S63" s="300">
        <f>I63/S$51*1000</f>
        <v>50.40957781978576</v>
      </c>
      <c r="T63" s="112">
        <f>J63/T$51*1000</f>
        <v>212.86341713146336</v>
      </c>
      <c r="U63" s="300">
        <f>K63/U$51*1000</f>
        <v>389.72542072630648</v>
      </c>
    </row>
    <row r="64" spans="1:21" x14ac:dyDescent="0.3">
      <c r="B64" s="94" t="s">
        <v>171</v>
      </c>
      <c r="C64" t="s">
        <v>24</v>
      </c>
      <c r="D64" s="112">
        <v>213.816</v>
      </c>
      <c r="E64" s="120">
        <v>187.005</v>
      </c>
      <c r="F64" s="112">
        <v>200.15480600000001</v>
      </c>
      <c r="G64" s="120">
        <v>71.313999999999993</v>
      </c>
      <c r="H64" s="112">
        <v>98</v>
      </c>
      <c r="I64" s="120">
        <v>492</v>
      </c>
      <c r="J64" s="112">
        <v>964</v>
      </c>
      <c r="K64" s="120">
        <v>1400</v>
      </c>
      <c r="L64" s="136"/>
      <c r="M64" s="136"/>
      <c r="N64" s="112">
        <f>+D64/O$51*1000</f>
        <v>650.68776628119281</v>
      </c>
      <c r="O64" s="120">
        <f>+E64/N$51*1000</f>
        <v>605.44889435684911</v>
      </c>
      <c r="P64" s="112">
        <f t="shared" si="23"/>
        <v>620.13510348246382</v>
      </c>
      <c r="Q64" s="300">
        <f t="shared" si="22"/>
        <v>199.99999999999997</v>
      </c>
      <c r="R64" s="112">
        <f>H64/R$51*1000</f>
        <v>278.48820687695371</v>
      </c>
      <c r="S64" s="300">
        <f>I64/S$51*1000</f>
        <v>1240.0756143667297</v>
      </c>
      <c r="T64" s="112">
        <f>J64/T$51*1000</f>
        <v>2597.4725837307683</v>
      </c>
      <c r="U64" s="300">
        <f>K64/U$51*1000</f>
        <v>3542.9583702391501</v>
      </c>
    </row>
    <row r="65" spans="2:21" x14ac:dyDescent="0.3">
      <c r="B65" s="94" t="s">
        <v>172</v>
      </c>
      <c r="C65" t="s">
        <v>304</v>
      </c>
      <c r="D65" s="112">
        <v>0.1</v>
      </c>
      <c r="E65" s="120">
        <v>0.1</v>
      </c>
      <c r="F65" s="112">
        <v>0.1</v>
      </c>
      <c r="G65" s="120">
        <v>0.1</v>
      </c>
      <c r="H65" s="112">
        <v>0.1</v>
      </c>
      <c r="I65" s="120">
        <v>0.1</v>
      </c>
      <c r="J65" s="112">
        <v>0.1</v>
      </c>
      <c r="K65" s="120">
        <v>0.1</v>
      </c>
      <c r="L65" s="136"/>
      <c r="M65" s="136"/>
      <c r="N65" s="112">
        <f>+D65/O$51*1000</f>
        <v>0.30432136335970783</v>
      </c>
      <c r="O65" s="120">
        <f>+E65/N$51*1000</f>
        <v>0.32376080551688413</v>
      </c>
      <c r="P65" s="112">
        <f t="shared" si="23"/>
        <v>0.30982773577890699</v>
      </c>
      <c r="Q65" s="300">
        <f t="shared" si="22"/>
        <v>0.28044984154583952</v>
      </c>
      <c r="R65" s="112">
        <f>H65/R$51*1000</f>
        <v>0.28417163967036096</v>
      </c>
      <c r="S65" s="300">
        <f>I65/S$51*1000</f>
        <v>0.25204788909892878</v>
      </c>
      <c r="T65" s="112">
        <f>J65/T$51*1000</f>
        <v>0.26944736345754861</v>
      </c>
      <c r="U65" s="300">
        <f>K65/U$51*1000</f>
        <v>0.25306845501708214</v>
      </c>
    </row>
    <row r="66" spans="2:21" ht="15" thickBot="1" x14ac:dyDescent="0.35">
      <c r="B66" s="94"/>
      <c r="C66" s="94"/>
      <c r="D66" s="113"/>
      <c r="E66" s="121"/>
      <c r="F66" s="113"/>
      <c r="G66" s="121"/>
      <c r="H66" s="113"/>
      <c r="I66" s="121"/>
      <c r="J66" s="113"/>
      <c r="K66" s="121"/>
      <c r="L66" s="136"/>
      <c r="M66" s="136"/>
      <c r="N66" s="113"/>
      <c r="O66" s="121"/>
      <c r="P66" s="113"/>
      <c r="Q66" s="301"/>
      <c r="R66" s="113"/>
      <c r="S66" s="301"/>
      <c r="T66" s="113"/>
      <c r="U66" s="301"/>
    </row>
    <row r="67" spans="2:21" ht="29.4" thickBot="1" x14ac:dyDescent="0.35">
      <c r="B67" s="95" t="s">
        <v>173</v>
      </c>
      <c r="C67" s="95" t="s">
        <v>27</v>
      </c>
      <c r="D67" s="114">
        <f t="shared" ref="D67:I67" si="24">SUM(D68:D77)</f>
        <v>8405.1329999999998</v>
      </c>
      <c r="E67" s="122">
        <f t="shared" si="24"/>
        <v>6946.6080000000002</v>
      </c>
      <c r="F67" s="114">
        <f t="shared" si="24"/>
        <v>9124.4046550000003</v>
      </c>
      <c r="G67" s="122">
        <f t="shared" si="24"/>
        <v>12068.826999999999</v>
      </c>
      <c r="H67" s="114">
        <f t="shared" si="24"/>
        <v>19112</v>
      </c>
      <c r="I67" s="122">
        <f t="shared" si="24"/>
        <v>35207</v>
      </c>
      <c r="J67" s="114">
        <f t="shared" ref="J67:K67" si="25">SUM(J68:J77)</f>
        <v>45198</v>
      </c>
      <c r="K67" s="122">
        <f t="shared" si="25"/>
        <v>34142</v>
      </c>
      <c r="L67" s="136"/>
      <c r="M67" s="136"/>
      <c r="N67" s="114">
        <f t="shared" ref="N67:P67" si="26">SUM(N68:N77)</f>
        <v>25578.615337796709</v>
      </c>
      <c r="O67" s="122">
        <f t="shared" si="26"/>
        <v>22490.394016900314</v>
      </c>
      <c r="P67" s="114">
        <f t="shared" si="26"/>
        <v>28269.936345891681</v>
      </c>
      <c r="Q67" s="302">
        <f t="shared" ref="Q67" si="27">SUM(Q68:Q77)</f>
        <v>33847.006197941497</v>
      </c>
      <c r="R67" s="114">
        <f t="shared" ref="R67:S67" si="28">SUM(R68:R77)</f>
        <v>54310.883773799374</v>
      </c>
      <c r="S67" s="302">
        <f t="shared" si="28"/>
        <v>85567.737870195342</v>
      </c>
      <c r="T67" s="114">
        <f t="shared" ref="T67:U67" si="29">SUM(T68:T77)</f>
        <v>121784.81933554279</v>
      </c>
      <c r="U67" s="302">
        <f t="shared" si="29"/>
        <v>86402.631911932171</v>
      </c>
    </row>
    <row r="68" spans="2:21" x14ac:dyDescent="0.3">
      <c r="B68" s="94" t="s">
        <v>28</v>
      </c>
      <c r="C68" s="94" t="s">
        <v>29</v>
      </c>
      <c r="D68" s="115">
        <v>145.86500000000001</v>
      </c>
      <c r="E68" s="123">
        <v>145.27099999999999</v>
      </c>
      <c r="F68" s="115">
        <v>298.42093699999998</v>
      </c>
      <c r="G68" s="123">
        <v>347.92899999999997</v>
      </c>
      <c r="H68" s="115">
        <v>564</v>
      </c>
      <c r="I68" s="123">
        <v>1293</v>
      </c>
      <c r="J68" s="115">
        <v>1196</v>
      </c>
      <c r="K68" s="123">
        <v>1146</v>
      </c>
      <c r="L68" s="136"/>
      <c r="M68" s="136"/>
      <c r="N68" s="115">
        <f t="shared" ref="N68:N75" si="30">+D68/O$51*1000</f>
        <v>443.89835666463784</v>
      </c>
      <c r="O68" s="123">
        <f t="shared" ref="O68:O75" si="31">+E68/N$51*1000</f>
        <v>470.33055978243272</v>
      </c>
      <c r="P68" s="115">
        <f t="shared" ref="P68:P77" si="32">F68/$P$51*1000</f>
        <v>924.59083219729837</v>
      </c>
      <c r="Q68" s="303">
        <f t="shared" ref="Q68:Q77" si="33">G68/Q$51*1000</f>
        <v>975.76632919202405</v>
      </c>
      <c r="R68" s="115">
        <f>H68/R$51*1000</f>
        <v>1602.7280477408356</v>
      </c>
      <c r="S68" s="303">
        <f>I68/S$51*1000</f>
        <v>3258.9792060491495</v>
      </c>
      <c r="T68" s="115">
        <f>J68/T$51*1000</f>
        <v>3222.5904669522811</v>
      </c>
      <c r="U68" s="303">
        <f>K68/U$51*1000</f>
        <v>2900.1644944957616</v>
      </c>
    </row>
    <row r="69" spans="2:21" x14ac:dyDescent="0.3">
      <c r="B69" s="94" t="s">
        <v>30</v>
      </c>
      <c r="C69" s="94" t="s">
        <v>31</v>
      </c>
      <c r="D69" s="115">
        <v>3302.2649999999999</v>
      </c>
      <c r="E69" s="123">
        <v>1622.2080000000001</v>
      </c>
      <c r="F69" s="115">
        <v>2500.9883030000001</v>
      </c>
      <c r="G69" s="123">
        <v>3000.7240000000002</v>
      </c>
      <c r="H69" s="115">
        <v>2593</v>
      </c>
      <c r="I69" s="123">
        <v>5780</v>
      </c>
      <c r="J69" s="115">
        <v>5728</v>
      </c>
      <c r="K69" s="123">
        <v>9399</v>
      </c>
      <c r="L69" s="136"/>
      <c r="M69" s="136"/>
      <c r="N69" s="115">
        <f t="shared" si="30"/>
        <v>10049.497869750456</v>
      </c>
      <c r="O69" s="123">
        <f t="shared" si="31"/>
        <v>5252.073687959336</v>
      </c>
      <c r="P69" s="115">
        <f t="shared" si="32"/>
        <v>7748.7554312802085</v>
      </c>
      <c r="Q69" s="303">
        <f t="shared" si="33"/>
        <v>8415.5257032279769</v>
      </c>
      <c r="R69" s="115">
        <f>H69/R$51*1000</f>
        <v>7368.5706166524587</v>
      </c>
      <c r="S69" s="303">
        <f>I69/S$51*1000</f>
        <v>14568.367989918084</v>
      </c>
      <c r="T69" s="115">
        <f>J69/T$51*1000</f>
        <v>15433.944978848382</v>
      </c>
      <c r="U69" s="303">
        <f>K69/U$51*1000</f>
        <v>23785.904087055547</v>
      </c>
    </row>
    <row r="70" spans="2:21" x14ac:dyDescent="0.3">
      <c r="B70" s="94" t="s">
        <v>13</v>
      </c>
      <c r="C70" s="94" t="s">
        <v>14</v>
      </c>
      <c r="D70" s="115"/>
      <c r="E70" s="123"/>
      <c r="F70" s="115"/>
      <c r="G70" s="123"/>
      <c r="H70" s="115"/>
      <c r="I70" s="123">
        <v>1258</v>
      </c>
      <c r="J70" s="115">
        <v>0</v>
      </c>
      <c r="K70" s="123">
        <v>0</v>
      </c>
      <c r="L70" s="136"/>
      <c r="M70" s="136"/>
      <c r="N70" s="115"/>
      <c r="O70" s="123"/>
      <c r="P70" s="115"/>
      <c r="Q70" s="303"/>
      <c r="R70" s="115"/>
      <c r="S70" s="303"/>
      <c r="T70" s="115"/>
      <c r="U70" s="303"/>
    </row>
    <row r="71" spans="2:21" x14ac:dyDescent="0.3">
      <c r="B71" s="94" t="s">
        <v>32</v>
      </c>
      <c r="C71" s="94" t="s">
        <v>33</v>
      </c>
      <c r="D71" s="115">
        <v>830.59500000000003</v>
      </c>
      <c r="E71" s="123">
        <v>860.39099999999996</v>
      </c>
      <c r="F71" s="115">
        <v>312.42079699999999</v>
      </c>
      <c r="G71" s="123">
        <v>173.55099999999999</v>
      </c>
      <c r="H71" s="115">
        <v>0</v>
      </c>
      <c r="I71" s="123">
        <v>12641</v>
      </c>
      <c r="J71" s="115">
        <v>935</v>
      </c>
      <c r="K71" s="123">
        <v>1323</v>
      </c>
      <c r="L71" s="136"/>
      <c r="M71" s="136"/>
      <c r="N71" s="115">
        <f t="shared" si="30"/>
        <v>2527.6780279975656</v>
      </c>
      <c r="O71" s="123">
        <f t="shared" si="31"/>
        <v>2785.6088321947741</v>
      </c>
      <c r="P71" s="115">
        <f t="shared" si="32"/>
        <v>967.96628144751514</v>
      </c>
      <c r="Q71" s="303">
        <f t="shared" si="33"/>
        <v>486.72350450121991</v>
      </c>
      <c r="R71" s="115">
        <f>H71/R$51*1000</f>
        <v>0</v>
      </c>
      <c r="S71" s="303">
        <f>I71/S$51*1000</f>
        <v>31861.373660995589</v>
      </c>
      <c r="T71" s="115">
        <f>J71/T$51*1000</f>
        <v>2519.3328483280793</v>
      </c>
      <c r="U71" s="303">
        <f>K71/U$51*1000</f>
        <v>3348.0956598759967</v>
      </c>
    </row>
    <row r="72" spans="2:21" x14ac:dyDescent="0.3">
      <c r="B72" s="94" t="s">
        <v>311</v>
      </c>
      <c r="C72" t="s">
        <v>303</v>
      </c>
      <c r="D72" s="115">
        <v>461.67399999999998</v>
      </c>
      <c r="E72" s="123">
        <v>494.86399999999998</v>
      </c>
      <c r="F72" s="115">
        <v>314.78907600000002</v>
      </c>
      <c r="G72" s="123">
        <v>1010.309</v>
      </c>
      <c r="H72" s="115">
        <v>110</v>
      </c>
      <c r="I72" s="123">
        <v>0</v>
      </c>
      <c r="J72" s="115">
        <v>4691</v>
      </c>
      <c r="K72" s="123">
        <v>3755</v>
      </c>
      <c r="L72" s="136"/>
      <c r="M72" s="136"/>
      <c r="N72" s="115">
        <f t="shared" si="30"/>
        <v>1404.9726110772976</v>
      </c>
      <c r="O72" s="123">
        <f t="shared" si="31"/>
        <v>1602.1756726130734</v>
      </c>
      <c r="P72" s="115">
        <f t="shared" si="32"/>
        <v>975.3038666501426</v>
      </c>
      <c r="Q72" s="303">
        <f t="shared" si="33"/>
        <v>2833.4099896233556</v>
      </c>
      <c r="R72" s="115">
        <f>H72/R$51*1000</f>
        <v>312.58880363739701</v>
      </c>
      <c r="S72" s="303">
        <f>I72/S$51*1000</f>
        <v>0</v>
      </c>
      <c r="T72" s="115">
        <f>J72/T$51*1000</f>
        <v>12639.775819793604</v>
      </c>
      <c r="U72" s="303">
        <f>K72/U$51*1000</f>
        <v>9502.7204858914338</v>
      </c>
    </row>
    <row r="73" spans="2:21" ht="28.8" x14ac:dyDescent="0.3">
      <c r="B73" s="94" t="s">
        <v>34</v>
      </c>
      <c r="C73" s="94" t="s">
        <v>35</v>
      </c>
      <c r="D73" s="115">
        <v>985.30899999999997</v>
      </c>
      <c r="E73" s="123">
        <v>2323.9029999999998</v>
      </c>
      <c r="F73" s="115">
        <v>2158.7542800000001</v>
      </c>
      <c r="G73" s="123">
        <v>3004.0740000000001</v>
      </c>
      <c r="H73" s="115">
        <v>4919</v>
      </c>
      <c r="I73" s="123">
        <v>6362</v>
      </c>
      <c r="J73" s="115">
        <v>7574</v>
      </c>
      <c r="K73" s="123">
        <v>7308</v>
      </c>
      <c r="L73" s="136"/>
      <c r="M73" s="136"/>
      <c r="N73" s="115">
        <f t="shared" si="30"/>
        <v>2998.5057821059036</v>
      </c>
      <c r="O73" s="123">
        <f t="shared" si="31"/>
        <v>7523.8870722310348</v>
      </c>
      <c r="P73" s="115">
        <f t="shared" si="32"/>
        <v>6688.419506754245</v>
      </c>
      <c r="Q73" s="303">
        <f t="shared" si="33"/>
        <v>8424.9207729197642</v>
      </c>
      <c r="R73" s="115">
        <f>H73/R$51*1000</f>
        <v>13978.402955385054</v>
      </c>
      <c r="S73" s="303">
        <f>I73/S$51*1000</f>
        <v>16035.28670447385</v>
      </c>
      <c r="T73" s="115">
        <f>J73/T$51*1000</f>
        <v>20407.943308274727</v>
      </c>
      <c r="U73" s="303">
        <f>K73/U$51*1000</f>
        <v>18494.242692648364</v>
      </c>
    </row>
    <row r="74" spans="2:21" x14ac:dyDescent="0.3">
      <c r="B74" s="94" t="s">
        <v>36</v>
      </c>
      <c r="C74" s="94" t="s">
        <v>37</v>
      </c>
      <c r="D74" s="115">
        <v>35.066000000000003</v>
      </c>
      <c r="E74" s="123">
        <v>121.90600000000001</v>
      </c>
      <c r="F74" s="115">
        <v>145.46445499999999</v>
      </c>
      <c r="G74" s="123">
        <v>0</v>
      </c>
      <c r="H74" s="115">
        <v>3772</v>
      </c>
      <c r="I74" s="123">
        <v>2</v>
      </c>
      <c r="J74" s="115">
        <v>0</v>
      </c>
      <c r="K74" s="123">
        <v>517</v>
      </c>
      <c r="L74" s="136"/>
      <c r="M74" s="136"/>
      <c r="N74" s="115">
        <f t="shared" si="30"/>
        <v>106.71332927571515</v>
      </c>
      <c r="O74" s="123">
        <f t="shared" si="31"/>
        <v>394.68384757341278</v>
      </c>
      <c r="P74" s="115">
        <f t="shared" si="32"/>
        <v>450.68922728962696</v>
      </c>
      <c r="Q74" s="303">
        <f t="shared" si="33"/>
        <v>0</v>
      </c>
      <c r="R74" s="115">
        <f>H74/R$51*1000</f>
        <v>10718.954248366013</v>
      </c>
      <c r="S74" s="303">
        <f>I74/S$51*1000</f>
        <v>5.0409577819785758</v>
      </c>
      <c r="T74" s="115">
        <f>J74/T$51*1000</f>
        <v>0</v>
      </c>
      <c r="U74" s="303">
        <f>K74/U$51*1000</f>
        <v>1308.3639124383146</v>
      </c>
    </row>
    <row r="75" spans="2:21" x14ac:dyDescent="0.3">
      <c r="B75" s="94" t="s">
        <v>38</v>
      </c>
      <c r="C75" s="94" t="s">
        <v>39</v>
      </c>
      <c r="D75" s="115">
        <v>2644.3589999999999</v>
      </c>
      <c r="E75" s="123">
        <v>1343.0650000000001</v>
      </c>
      <c r="F75" s="115">
        <v>2332.1740089999998</v>
      </c>
      <c r="G75" s="123">
        <v>3968.3679999999999</v>
      </c>
      <c r="H75" s="115">
        <v>7154</v>
      </c>
      <c r="I75" s="123">
        <v>7871</v>
      </c>
      <c r="J75" s="115">
        <v>25074</v>
      </c>
      <c r="K75" s="123">
        <v>10694</v>
      </c>
      <c r="L75" s="136"/>
      <c r="M75" s="136"/>
      <c r="N75" s="115">
        <f t="shared" si="30"/>
        <v>8047.3493609251354</v>
      </c>
      <c r="O75" s="123">
        <f t="shared" si="31"/>
        <v>4348.3180626153398</v>
      </c>
      <c r="P75" s="115">
        <f t="shared" si="32"/>
        <v>7225.7219265088606</v>
      </c>
      <c r="Q75" s="303">
        <f t="shared" si="33"/>
        <v>11129.281767955801</v>
      </c>
      <c r="R75" s="115">
        <f>H75/R$51*1000</f>
        <v>20329.63910201762</v>
      </c>
      <c r="S75" s="303">
        <f>I75/S$51*1000</f>
        <v>19838.689350976685</v>
      </c>
      <c r="T75" s="115">
        <f>J75/T$51*1000</f>
        <v>67561.23191334572</v>
      </c>
      <c r="U75" s="303">
        <f>K75/U$51*1000</f>
        <v>27063.140579526764</v>
      </c>
    </row>
    <row r="76" spans="2:21" x14ac:dyDescent="0.3">
      <c r="B76" s="94" t="s">
        <v>283</v>
      </c>
      <c r="C76" t="s">
        <v>307</v>
      </c>
      <c r="D76" s="115"/>
      <c r="E76" s="123"/>
      <c r="F76" s="115">
        <v>1056.3927980000001</v>
      </c>
      <c r="G76" s="123">
        <v>563.87199999999996</v>
      </c>
      <c r="H76" s="115">
        <v>0</v>
      </c>
      <c r="I76" s="123">
        <v>0</v>
      </c>
      <c r="J76" s="115">
        <v>0</v>
      </c>
      <c r="K76" s="123">
        <v>0</v>
      </c>
      <c r="L76" s="136"/>
      <c r="M76" s="136"/>
      <c r="N76" s="115"/>
      <c r="O76" s="123"/>
      <c r="P76" s="115">
        <f t="shared" si="32"/>
        <v>3272.997886974842</v>
      </c>
      <c r="Q76" s="303">
        <f t="shared" si="33"/>
        <v>1581.3781305213561</v>
      </c>
      <c r="R76" s="115">
        <f>H76/R$51*1000</f>
        <v>0</v>
      </c>
      <c r="S76" s="303">
        <f>I76/S$51*1000</f>
        <v>0</v>
      </c>
      <c r="T76" s="115">
        <f>J76/T$51*1000</f>
        <v>0</v>
      </c>
      <c r="U76" s="303">
        <f>K76/U$51*1000</f>
        <v>0</v>
      </c>
    </row>
    <row r="77" spans="2:21" x14ac:dyDescent="0.3">
      <c r="B77" s="94" t="s">
        <v>40</v>
      </c>
      <c r="C77" s="94" t="s">
        <v>41</v>
      </c>
      <c r="D77" s="115" t="s">
        <v>12</v>
      </c>
      <c r="E77" s="123">
        <v>35</v>
      </c>
      <c r="F77" s="115">
        <v>5</v>
      </c>
      <c r="G77" s="123">
        <v>0</v>
      </c>
      <c r="H77" s="115">
        <v>0</v>
      </c>
      <c r="I77" s="123">
        <v>0</v>
      </c>
      <c r="J77" s="115">
        <v>0</v>
      </c>
      <c r="K77" s="123">
        <v>0</v>
      </c>
      <c r="L77" s="136"/>
      <c r="M77" s="136"/>
      <c r="N77" s="115">
        <f>IFERROR(D77/O$51*1000,0)</f>
        <v>0</v>
      </c>
      <c r="O77" s="123">
        <f>+E77/N$51*1000</f>
        <v>113.31628193090944</v>
      </c>
      <c r="P77" s="115">
        <f t="shared" si="32"/>
        <v>15.491386788945348</v>
      </c>
      <c r="Q77" s="303">
        <f t="shared" si="33"/>
        <v>0</v>
      </c>
      <c r="R77" s="115">
        <f>H77/R$51*1000</f>
        <v>0</v>
      </c>
      <c r="S77" s="303">
        <f>I77/S$51*1000</f>
        <v>0</v>
      </c>
      <c r="T77" s="115">
        <f>J77/T$51*1000</f>
        <v>0</v>
      </c>
      <c r="U77" s="303">
        <f>K77/U$51*1000</f>
        <v>0</v>
      </c>
    </row>
    <row r="78" spans="2:21" ht="15" thickBot="1" x14ac:dyDescent="0.35">
      <c r="B78" s="94"/>
      <c r="C78" s="94"/>
      <c r="D78" s="113"/>
      <c r="E78" s="121"/>
      <c r="F78" s="113"/>
      <c r="G78" s="121"/>
      <c r="H78" s="113"/>
      <c r="I78" s="121"/>
      <c r="J78" s="113"/>
      <c r="K78" s="121"/>
      <c r="L78" s="136"/>
      <c r="M78" s="136"/>
      <c r="N78" s="113"/>
      <c r="O78" s="121"/>
      <c r="P78" s="113"/>
      <c r="Q78" s="301"/>
      <c r="R78" s="113"/>
      <c r="S78" s="301"/>
      <c r="T78" s="113"/>
      <c r="U78" s="301"/>
    </row>
    <row r="79" spans="2:21" ht="15.6" thickTop="1" thickBot="1" x14ac:dyDescent="0.35">
      <c r="B79" s="96" t="s">
        <v>42</v>
      </c>
      <c r="C79" s="96" t="s">
        <v>43</v>
      </c>
      <c r="D79" s="116">
        <f t="shared" ref="D79:P79" si="34">+D67+D54</f>
        <v>14819.843999999999</v>
      </c>
      <c r="E79" s="124">
        <f t="shared" si="34"/>
        <v>15927.021000000001</v>
      </c>
      <c r="F79" s="116">
        <f t="shared" si="34"/>
        <v>33211.463545999999</v>
      </c>
      <c r="G79" s="124">
        <f t="shared" ref="G79:H79" si="35">+G67+G54</f>
        <v>37837.531999999992</v>
      </c>
      <c r="H79" s="116">
        <f t="shared" si="35"/>
        <v>49095.1</v>
      </c>
      <c r="I79" s="124">
        <f t="shared" ref="I79:J79" si="36">+I67+I54</f>
        <v>66236.100000000006</v>
      </c>
      <c r="J79" s="116">
        <f t="shared" si="36"/>
        <v>83123.5</v>
      </c>
      <c r="K79" s="124">
        <f t="shared" ref="K79" si="37">+K67+K54</f>
        <v>82683.100000000006</v>
      </c>
      <c r="L79" s="136"/>
      <c r="M79" s="136"/>
      <c r="N79" s="116">
        <f t="shared" si="34"/>
        <v>45099.951308581862</v>
      </c>
      <c r="O79" s="124">
        <f t="shared" si="34"/>
        <v>51565.4514844433</v>
      </c>
      <c r="P79" s="116">
        <f t="shared" si="34"/>
        <v>102898.32552360889</v>
      </c>
      <c r="Q79" s="304">
        <f t="shared" ref="Q79" si="38">+Q67+Q54</f>
        <v>106115.29853885635</v>
      </c>
      <c r="R79" s="116">
        <f t="shared" ref="R79:S79" si="39">+R67+R54</f>
        <v>139514.35066780334</v>
      </c>
      <c r="S79" s="304">
        <f t="shared" si="39"/>
        <v>163775.92942659103</v>
      </c>
      <c r="T79" s="116">
        <f t="shared" ref="T79:U79" si="40">+T67+T54</f>
        <v>221450.97405221889</v>
      </c>
      <c r="U79" s="304">
        <f t="shared" si="40"/>
        <v>206666.07617360496</v>
      </c>
    </row>
    <row r="80" spans="2:21" ht="15" thickTop="1" x14ac:dyDescent="0.3">
      <c r="D80" s="110"/>
      <c r="E80" s="103"/>
      <c r="F80" s="137"/>
      <c r="G80" s="137"/>
      <c r="H80" s="145"/>
      <c r="I80" s="137"/>
      <c r="J80" s="145"/>
      <c r="K80" s="137"/>
      <c r="L80" s="136"/>
      <c r="M80" s="136"/>
      <c r="N80" s="138"/>
      <c r="O80" s="138"/>
      <c r="P80" s="138"/>
      <c r="Q80" s="138"/>
      <c r="R80" s="138"/>
      <c r="S80" s="138"/>
      <c r="T80" s="138"/>
      <c r="U80" s="138"/>
    </row>
    <row r="81" spans="2:21" ht="18" x14ac:dyDescent="0.35">
      <c r="D81" s="110"/>
      <c r="E81" s="103"/>
      <c r="F81" s="137"/>
      <c r="G81" s="137"/>
      <c r="H81" s="145"/>
      <c r="I81" s="137"/>
      <c r="J81" s="145"/>
      <c r="K81" s="137"/>
      <c r="L81" s="136"/>
      <c r="N81" s="421" t="s">
        <v>290</v>
      </c>
      <c r="O81" s="421"/>
      <c r="R81" s="103"/>
      <c r="S81" s="103"/>
      <c r="T81" s="103"/>
      <c r="U81" s="103"/>
    </row>
    <row r="82" spans="2:21" x14ac:dyDescent="0.3">
      <c r="D82" s="110"/>
      <c r="E82" s="103"/>
      <c r="F82" s="137"/>
      <c r="G82" s="137"/>
      <c r="H82" s="145"/>
      <c r="I82" s="137"/>
      <c r="J82" s="145"/>
      <c r="K82" s="137"/>
      <c r="L82" s="136"/>
      <c r="M82" t="s">
        <v>181</v>
      </c>
      <c r="N82" s="103">
        <v>308.87</v>
      </c>
      <c r="O82" s="103">
        <v>328.6</v>
      </c>
      <c r="P82" s="103">
        <v>322.76</v>
      </c>
      <c r="Q82" s="103">
        <f>+Q51</f>
        <v>356.57</v>
      </c>
      <c r="R82" s="103">
        <f>+R51</f>
        <v>351.9</v>
      </c>
      <c r="S82" s="103">
        <f>+S51</f>
        <v>396.75</v>
      </c>
      <c r="T82" s="103">
        <f>+T51</f>
        <v>371.13</v>
      </c>
      <c r="U82" s="103">
        <f>+U51</f>
        <v>395.15</v>
      </c>
    </row>
    <row r="83" spans="2:21" x14ac:dyDescent="0.3">
      <c r="B83" s="147"/>
      <c r="C83" s="147" t="s">
        <v>1</v>
      </c>
      <c r="D83" s="139">
        <v>42916</v>
      </c>
      <c r="E83" s="139">
        <v>43281</v>
      </c>
      <c r="F83" s="139">
        <v>43646</v>
      </c>
      <c r="G83" s="139">
        <v>44012</v>
      </c>
      <c r="H83" s="139" t="s">
        <v>456</v>
      </c>
      <c r="I83" s="139">
        <v>44742</v>
      </c>
      <c r="J83" s="139">
        <v>45107</v>
      </c>
      <c r="K83" s="133">
        <v>45473</v>
      </c>
      <c r="L83" s="140"/>
      <c r="M83" s="140"/>
      <c r="N83" s="139">
        <v>42916</v>
      </c>
      <c r="O83" s="139">
        <v>43281</v>
      </c>
      <c r="P83" s="139">
        <v>43646</v>
      </c>
      <c r="Q83" s="139">
        <v>44012</v>
      </c>
      <c r="R83" s="139">
        <v>44377</v>
      </c>
      <c r="S83" s="139">
        <v>44742</v>
      </c>
      <c r="T83" s="139">
        <v>45107</v>
      </c>
      <c r="U83" s="133">
        <v>45473</v>
      </c>
    </row>
    <row r="84" spans="2:21" ht="15" customHeight="1" thickBot="1" x14ac:dyDescent="0.35">
      <c r="B84" s="147" t="s">
        <v>93</v>
      </c>
      <c r="C84" s="148" t="s">
        <v>166</v>
      </c>
      <c r="D84" s="141" t="s">
        <v>170</v>
      </c>
      <c r="E84" s="141" t="s">
        <v>170</v>
      </c>
      <c r="F84" s="141" t="s">
        <v>170</v>
      </c>
      <c r="G84" s="141" t="s">
        <v>170</v>
      </c>
      <c r="H84" s="141" t="s">
        <v>170</v>
      </c>
      <c r="I84" s="141" t="s">
        <v>170</v>
      </c>
      <c r="J84" s="141" t="s">
        <v>170</v>
      </c>
      <c r="K84" s="141" t="s">
        <v>170</v>
      </c>
      <c r="L84" s="83"/>
      <c r="M84" s="83"/>
      <c r="N84" s="141" t="s">
        <v>170</v>
      </c>
      <c r="O84" s="141" t="s">
        <v>170</v>
      </c>
      <c r="P84" s="141" t="s">
        <v>170</v>
      </c>
      <c r="Q84" s="141" t="s">
        <v>170</v>
      </c>
      <c r="R84" s="141" t="s">
        <v>170</v>
      </c>
      <c r="S84" s="141" t="s">
        <v>170</v>
      </c>
      <c r="T84" s="141" t="s">
        <v>170</v>
      </c>
      <c r="U84" s="141" t="s">
        <v>170</v>
      </c>
    </row>
    <row r="85" spans="2:21" ht="15" thickBot="1" x14ac:dyDescent="0.35">
      <c r="B85" s="95" t="s">
        <v>44</v>
      </c>
      <c r="C85" s="95" t="s">
        <v>45</v>
      </c>
      <c r="D85" s="114">
        <f t="shared" ref="D85:I85" si="41">+D86+D95</f>
        <v>4668.9340000000002</v>
      </c>
      <c r="E85" s="122">
        <f t="shared" si="41"/>
        <v>5104.4380000000001</v>
      </c>
      <c r="F85" s="114">
        <f t="shared" si="41"/>
        <v>6310.1572749999987</v>
      </c>
      <c r="G85" s="122">
        <f t="shared" si="41"/>
        <v>7586.5889999999999</v>
      </c>
      <c r="H85" s="114">
        <f t="shared" si="41"/>
        <v>14037</v>
      </c>
      <c r="I85" s="122">
        <f t="shared" si="41"/>
        <v>29257</v>
      </c>
      <c r="J85" s="114">
        <f t="shared" ref="J85:K85" si="42">+J86+J95</f>
        <v>32580</v>
      </c>
      <c r="K85" s="122">
        <f t="shared" si="42"/>
        <v>33717</v>
      </c>
      <c r="L85" s="136"/>
      <c r="M85" s="136"/>
      <c r="N85" s="114">
        <f t="shared" ref="N85:S85" si="43">+N86+N95</f>
        <v>14208.563603164943</v>
      </c>
      <c r="O85" s="122">
        <f t="shared" si="43"/>
        <v>16526.169585909931</v>
      </c>
      <c r="P85" s="114">
        <f t="shared" si="43"/>
        <v>19550.617409220471</v>
      </c>
      <c r="Q85" s="302">
        <f t="shared" si="43"/>
        <v>21276.576829234091</v>
      </c>
      <c r="R85" s="114">
        <f t="shared" si="43"/>
        <v>39889.173060528563</v>
      </c>
      <c r="S85" s="302">
        <f t="shared" si="43"/>
        <v>73741.650913673599</v>
      </c>
      <c r="T85" s="114">
        <f t="shared" ref="T85:U85" si="44">+T86+T95</f>
        <v>87785.951014469305</v>
      </c>
      <c r="U85" s="302">
        <f t="shared" si="44"/>
        <v>85327.090978109569</v>
      </c>
    </row>
    <row r="86" spans="2:21" ht="16.2" customHeight="1" x14ac:dyDescent="0.3">
      <c r="B86" s="97" t="s">
        <v>174</v>
      </c>
      <c r="C86" s="97" t="s">
        <v>47</v>
      </c>
      <c r="D86" s="117">
        <f>SUM(D87:D93)</f>
        <v>4698.5380000000005</v>
      </c>
      <c r="E86" s="125">
        <f>SUM(E87:E93)</f>
        <v>5131.0680000000002</v>
      </c>
      <c r="F86" s="117">
        <f>SUM(F87:F93)</f>
        <v>6317.2654119999988</v>
      </c>
      <c r="G86" s="125">
        <v>7580.9840000000004</v>
      </c>
      <c r="H86" s="117">
        <f>SUM(H87:H93)</f>
        <v>14027</v>
      </c>
      <c r="I86" s="125">
        <f>SUM(I87:I93)</f>
        <v>29243</v>
      </c>
      <c r="J86" s="117">
        <f>SUM(J87:J93)</f>
        <v>32583</v>
      </c>
      <c r="K86" s="125">
        <v>33509</v>
      </c>
      <c r="L86" s="136"/>
      <c r="M86" s="136"/>
      <c r="N86" s="117">
        <f t="shared" ref="N86:S86" si="45">SUM(N87:N93)</f>
        <v>14298.65489957395</v>
      </c>
      <c r="O86" s="125">
        <f t="shared" si="45"/>
        <v>16612.387088419076</v>
      </c>
      <c r="P86" s="117">
        <f t="shared" si="45"/>
        <v>19572.640389143635</v>
      </c>
      <c r="Q86" s="305">
        <f t="shared" si="45"/>
        <v>21260.857615615445</v>
      </c>
      <c r="R86" s="117">
        <f t="shared" si="45"/>
        <v>39860.755896561524</v>
      </c>
      <c r="S86" s="305">
        <f t="shared" si="45"/>
        <v>73706.364209199746</v>
      </c>
      <c r="T86" s="117">
        <f t="shared" ref="T86:U86" si="46">SUM(T87:T93)</f>
        <v>87794.034435373032</v>
      </c>
      <c r="U86" s="305">
        <f t="shared" si="46"/>
        <v>84800.708591674033</v>
      </c>
    </row>
    <row r="87" spans="2:21" x14ac:dyDescent="0.3">
      <c r="B87" s="94" t="s">
        <v>48</v>
      </c>
      <c r="C87" s="94" t="s">
        <v>49</v>
      </c>
      <c r="D87" s="112">
        <v>195.39</v>
      </c>
      <c r="E87" s="120">
        <v>195.39</v>
      </c>
      <c r="F87" s="112">
        <v>232.78190000000001</v>
      </c>
      <c r="G87" s="120">
        <v>232.97200000000001</v>
      </c>
      <c r="H87" s="112">
        <v>237</v>
      </c>
      <c r="I87" s="120">
        <v>249</v>
      </c>
      <c r="J87" s="112">
        <v>248</v>
      </c>
      <c r="K87" s="120">
        <v>249</v>
      </c>
      <c r="L87" s="136"/>
      <c r="M87" s="136"/>
      <c r="N87" s="112">
        <f>+D87/O$51*1000</f>
        <v>594.61351186853301</v>
      </c>
      <c r="O87" s="120">
        <f t="shared" ref="O87:O93" si="47">+E87/N$51*1000</f>
        <v>632.59623789943987</v>
      </c>
      <c r="P87" s="112">
        <f t="shared" ref="P87:P95" si="48">F87/$P$51*1000</f>
        <v>721.2228900731194</v>
      </c>
      <c r="Q87" s="300">
        <f t="shared" ref="Q87:Q95" si="49">G87/Q$51*1000</f>
        <v>653.36960484617339</v>
      </c>
      <c r="R87" s="112">
        <f t="shared" ref="R87:R95" si="50">H87/R$51*1000</f>
        <v>673.48678601875531</v>
      </c>
      <c r="S87" s="300">
        <f>I87/S$51*1000</f>
        <v>627.59924385633269</v>
      </c>
      <c r="T87" s="112">
        <f>J87/T$51*1000</f>
        <v>668.22946137472047</v>
      </c>
      <c r="U87" s="300">
        <f>K87/U$51*1000</f>
        <v>630.14045299253451</v>
      </c>
    </row>
    <row r="88" spans="2:21" x14ac:dyDescent="0.3">
      <c r="B88" s="94" t="s">
        <v>302</v>
      </c>
      <c r="C88" s="94" t="s">
        <v>50</v>
      </c>
      <c r="D88" s="112">
        <v>3080.8380000000002</v>
      </c>
      <c r="E88" s="120">
        <v>3080.8380000000002</v>
      </c>
      <c r="F88" s="112">
        <v>5042.9831169999998</v>
      </c>
      <c r="G88" s="120">
        <v>5057.8329999999996</v>
      </c>
      <c r="H88" s="112">
        <v>5413</v>
      </c>
      <c r="I88" s="120">
        <v>6508</v>
      </c>
      <c r="J88" s="112">
        <v>5860</v>
      </c>
      <c r="K88" s="120">
        <v>6524</v>
      </c>
      <c r="L88" s="136"/>
      <c r="M88" s="136"/>
      <c r="N88" s="115">
        <f>IFERROR(D88/O$51*1000,0)</f>
        <v>9375.6482045039575</v>
      </c>
      <c r="O88" s="120">
        <f t="shared" si="47"/>
        <v>9974.5459254702637</v>
      </c>
      <c r="P88" s="112">
        <f t="shared" si="48"/>
        <v>15624.560407113644</v>
      </c>
      <c r="Q88" s="300">
        <f t="shared" si="49"/>
        <v>14184.68463415318</v>
      </c>
      <c r="R88" s="112">
        <f t="shared" si="50"/>
        <v>15382.210855356636</v>
      </c>
      <c r="S88" s="300">
        <f>I88/S$51*1000</f>
        <v>16403.276622558289</v>
      </c>
      <c r="T88" s="112">
        <f>J88/T$51*1000</f>
        <v>15789.615498612346</v>
      </c>
      <c r="U88" s="300">
        <f>K88/U$51*1000</f>
        <v>16510.186005314437</v>
      </c>
    </row>
    <row r="89" spans="2:21" x14ac:dyDescent="0.3">
      <c r="B89" s="94" t="s">
        <v>51</v>
      </c>
      <c r="C89" s="94" t="s">
        <v>52</v>
      </c>
      <c r="D89" s="112">
        <v>73.165999999999997</v>
      </c>
      <c r="E89" s="120">
        <v>83.74</v>
      </c>
      <c r="F89" s="112">
        <v>92.690111000000002</v>
      </c>
      <c r="G89" s="120">
        <v>66.748000000000005</v>
      </c>
      <c r="H89" s="112">
        <v>204</v>
      </c>
      <c r="I89" s="334">
        <v>-1551</v>
      </c>
      <c r="J89" s="112">
        <v>-1883</v>
      </c>
      <c r="K89" s="334">
        <v>-2238</v>
      </c>
      <c r="L89" s="136"/>
      <c r="M89" s="136"/>
      <c r="N89" s="112">
        <f>+D89/O$51*1000</f>
        <v>222.65976871576382</v>
      </c>
      <c r="O89" s="120">
        <f t="shared" si="47"/>
        <v>271.11729853983871</v>
      </c>
      <c r="P89" s="112">
        <f t="shared" si="48"/>
        <v>287.17967220225552</v>
      </c>
      <c r="Q89" s="300">
        <f t="shared" si="49"/>
        <v>187.19466023501698</v>
      </c>
      <c r="R89" s="112">
        <f t="shared" si="50"/>
        <v>579.71014492753625</v>
      </c>
      <c r="S89" s="300">
        <f>I89/S$51*1000</f>
        <v>-3909.2627599243856</v>
      </c>
      <c r="T89" s="112">
        <f>J89/T$51*1000</f>
        <v>-5073.69385390564</v>
      </c>
      <c r="U89" s="300">
        <f>K89/U$51*1000</f>
        <v>-5663.6720232822981</v>
      </c>
    </row>
    <row r="90" spans="2:21" x14ac:dyDescent="0.3">
      <c r="B90" s="94" t="s">
        <v>53</v>
      </c>
      <c r="C90" s="94" t="s">
        <v>54</v>
      </c>
      <c r="D90" s="112">
        <v>1682.662</v>
      </c>
      <c r="E90" s="120">
        <v>2108.5790000000002</v>
      </c>
      <c r="F90" s="112">
        <v>2501.4978080000001</v>
      </c>
      <c r="G90" s="120">
        <v>3357.8470000000002</v>
      </c>
      <c r="H90" s="112">
        <v>5245</v>
      </c>
      <c r="I90" s="120">
        <v>14396</v>
      </c>
      <c r="J90" s="112">
        <v>28134</v>
      </c>
      <c r="K90" s="334">
        <v>29415</v>
      </c>
      <c r="L90" s="136"/>
      <c r="M90" s="136"/>
      <c r="N90" s="112">
        <f>+D90/O$51*1000</f>
        <v>5120.6999391357276</v>
      </c>
      <c r="O90" s="120">
        <f t="shared" si="47"/>
        <v>6826.7523553598603</v>
      </c>
      <c r="P90" s="112">
        <f t="shared" si="48"/>
        <v>7750.3340190853887</v>
      </c>
      <c r="Q90" s="300">
        <f t="shared" si="49"/>
        <v>9417.076590851726</v>
      </c>
      <c r="R90" s="112">
        <f t="shared" si="50"/>
        <v>14904.80250071043</v>
      </c>
      <c r="S90" s="300">
        <f>I90/S$51*1000</f>
        <v>36284.814114681787</v>
      </c>
      <c r="T90" s="112">
        <f>J90/T$51*1000</f>
        <v>75806.321235146708</v>
      </c>
      <c r="U90" s="300">
        <f>K90/U$51*1000</f>
        <v>74440.086043274699</v>
      </c>
    </row>
    <row r="91" spans="2:21" x14ac:dyDescent="0.3">
      <c r="B91" s="94" t="s">
        <v>175</v>
      </c>
      <c r="C91" s="94" t="s">
        <v>56</v>
      </c>
      <c r="D91" s="335">
        <v>-182.42400000000001</v>
      </c>
      <c r="E91" s="334">
        <v>-182.42400000000001</v>
      </c>
      <c r="F91" s="335">
        <v>-192.53436500000001</v>
      </c>
      <c r="G91" s="334">
        <v>-192.53399999999999</v>
      </c>
      <c r="H91" s="335">
        <v>-514</v>
      </c>
      <c r="I91" s="334">
        <v>0</v>
      </c>
      <c r="J91" s="335">
        <v>0</v>
      </c>
      <c r="K91" s="334">
        <v>0</v>
      </c>
      <c r="L91" s="136"/>
      <c r="M91" s="136"/>
      <c r="N91" s="112">
        <f>+D91/O$51*1000</f>
        <v>-555.15520389531343</v>
      </c>
      <c r="O91" s="120">
        <f t="shared" si="47"/>
        <v>-590.61741185612073</v>
      </c>
      <c r="P91" s="112">
        <f t="shared" si="48"/>
        <v>-596.52486367579627</v>
      </c>
      <c r="Q91" s="300">
        <f t="shared" si="49"/>
        <v>-539.96129792186662</v>
      </c>
      <c r="R91" s="112">
        <f t="shared" si="50"/>
        <v>-1460.6422279056551</v>
      </c>
      <c r="S91" s="300">
        <f>I91/S$51*1000</f>
        <v>0</v>
      </c>
      <c r="T91" s="112">
        <f>J91/T$51*1000</f>
        <v>0</v>
      </c>
      <c r="U91" s="300">
        <f>K91/U$51*1000</f>
        <v>0</v>
      </c>
    </row>
    <row r="92" spans="2:21" x14ac:dyDescent="0.3">
      <c r="B92" s="94" t="s">
        <v>57</v>
      </c>
      <c r="C92" s="94" t="s">
        <v>58</v>
      </c>
      <c r="D92" s="335">
        <v>-151.09399999999999</v>
      </c>
      <c r="E92" s="334">
        <v>-155.22</v>
      </c>
      <c r="F92" s="335">
        <v>-1360.483714</v>
      </c>
      <c r="G92" s="334">
        <v>-940.82299999999998</v>
      </c>
      <c r="H92" s="335">
        <v>3442</v>
      </c>
      <c r="I92" s="334">
        <v>9641</v>
      </c>
      <c r="J92" s="335">
        <v>224</v>
      </c>
      <c r="K92" s="120">
        <v>-441</v>
      </c>
      <c r="L92" s="136"/>
      <c r="M92" s="136"/>
      <c r="N92" s="112">
        <f>+D92/O$51*1000</f>
        <v>-459.81132075471692</v>
      </c>
      <c r="O92" s="120">
        <f t="shared" si="47"/>
        <v>-502.5415223233075</v>
      </c>
      <c r="P92" s="112">
        <f t="shared" si="48"/>
        <v>-4215.1558867269805</v>
      </c>
      <c r="Q92" s="300">
        <f t="shared" si="49"/>
        <v>-2638.5366127268139</v>
      </c>
      <c r="R92" s="112">
        <f t="shared" si="50"/>
        <v>9781.1878374538228</v>
      </c>
      <c r="S92" s="300">
        <f>I92/S$51*1000</f>
        <v>24299.936988027723</v>
      </c>
      <c r="T92" s="112">
        <f>J92/T$51*1000</f>
        <v>603.56209414490877</v>
      </c>
      <c r="U92" s="300">
        <f>K92/U$51*1000</f>
        <v>-1116.0318866253322</v>
      </c>
    </row>
    <row r="93" spans="2:21" x14ac:dyDescent="0.3">
      <c r="B93" s="94" t="s">
        <v>176</v>
      </c>
      <c r="C93" s="94" t="s">
        <v>305</v>
      </c>
      <c r="D93" s="112" t="s">
        <v>12</v>
      </c>
      <c r="E93" s="120">
        <v>0.16500000000000001</v>
      </c>
      <c r="F93" s="112">
        <v>0.33055499999999999</v>
      </c>
      <c r="G93" s="120">
        <v>-1.0589999999999999</v>
      </c>
      <c r="H93" s="112">
        <v>0</v>
      </c>
      <c r="I93" s="120">
        <v>0</v>
      </c>
      <c r="J93" s="112">
        <v>0</v>
      </c>
      <c r="K93" s="120">
        <v>0</v>
      </c>
      <c r="L93" s="136"/>
      <c r="M93" s="136"/>
      <c r="N93" s="115">
        <f>IFERROR(D93/O$51*1000,0)</f>
        <v>0</v>
      </c>
      <c r="O93" s="120">
        <f t="shared" si="47"/>
        <v>0.53420532910285889</v>
      </c>
      <c r="P93" s="112">
        <f t="shared" si="48"/>
        <v>1.0241510720039657</v>
      </c>
      <c r="Q93" s="300">
        <f t="shared" si="49"/>
        <v>-2.9699638219704405</v>
      </c>
      <c r="R93" s="112">
        <f t="shared" si="50"/>
        <v>0</v>
      </c>
      <c r="S93" s="300">
        <f>I93/S$51*1000</f>
        <v>0</v>
      </c>
      <c r="T93" s="112">
        <f>J93/T$51*1000</f>
        <v>0</v>
      </c>
      <c r="U93" s="300">
        <f>K93/U$51*1000</f>
        <v>0</v>
      </c>
    </row>
    <row r="94" spans="2:21" x14ac:dyDescent="0.3">
      <c r="B94" s="94"/>
      <c r="C94" s="94"/>
      <c r="D94" s="118">
        <v>0</v>
      </c>
      <c r="E94" s="126">
        <v>0</v>
      </c>
      <c r="F94" s="118">
        <v>0</v>
      </c>
      <c r="G94" s="126">
        <v>0</v>
      </c>
      <c r="H94" s="118">
        <v>0</v>
      </c>
      <c r="I94" s="126">
        <v>0</v>
      </c>
      <c r="J94" s="118">
        <v>0</v>
      </c>
      <c r="K94" s="126">
        <v>0</v>
      </c>
      <c r="L94" s="136"/>
      <c r="M94" s="136"/>
      <c r="N94" s="118"/>
      <c r="O94" s="126"/>
      <c r="P94" s="112">
        <f t="shared" si="48"/>
        <v>0</v>
      </c>
      <c r="Q94" s="300">
        <f t="shared" si="49"/>
        <v>0</v>
      </c>
      <c r="R94" s="112">
        <f t="shared" si="50"/>
        <v>0</v>
      </c>
      <c r="S94" s="300">
        <f>I94/S$51*1000</f>
        <v>0</v>
      </c>
      <c r="T94" s="112">
        <f>J94/T$51*1000</f>
        <v>0</v>
      </c>
      <c r="U94" s="300">
        <f>K94/U$51*1000</f>
        <v>0</v>
      </c>
    </row>
    <row r="95" spans="2:21" x14ac:dyDescent="0.3">
      <c r="B95" s="97" t="s">
        <v>60</v>
      </c>
      <c r="C95" s="94" t="s">
        <v>61</v>
      </c>
      <c r="D95" s="117">
        <v>-29.603999999999999</v>
      </c>
      <c r="E95" s="125">
        <v>-26.63</v>
      </c>
      <c r="F95" s="117">
        <v>-7.1081370000000001</v>
      </c>
      <c r="G95" s="125">
        <v>5.6050000000000004</v>
      </c>
      <c r="H95" s="117">
        <v>10</v>
      </c>
      <c r="I95" s="125">
        <v>14</v>
      </c>
      <c r="J95" s="117">
        <v>-3</v>
      </c>
      <c r="K95" s="125">
        <v>208</v>
      </c>
      <c r="L95" s="136"/>
      <c r="M95" s="136"/>
      <c r="N95" s="117">
        <f>+D95/O$51*1000</f>
        <v>-90.091296409007896</v>
      </c>
      <c r="O95" s="125">
        <f>+E95/N$51*1000</f>
        <v>-86.217502509146243</v>
      </c>
      <c r="P95" s="117">
        <f t="shared" si="48"/>
        <v>-22.022979923162723</v>
      </c>
      <c r="Q95" s="305">
        <f t="shared" si="49"/>
        <v>15.719213618644309</v>
      </c>
      <c r="R95" s="117">
        <f t="shared" si="50"/>
        <v>28.417163967036092</v>
      </c>
      <c r="S95" s="305">
        <f>I95/S$51*1000</f>
        <v>35.28670447385003</v>
      </c>
      <c r="T95" s="117">
        <f>J95/T$51*1000</f>
        <v>-8.0834209037264575</v>
      </c>
      <c r="U95" s="305">
        <f>K95/U$51*1000</f>
        <v>526.38238643553086</v>
      </c>
    </row>
    <row r="96" spans="2:21" ht="15" thickBot="1" x14ac:dyDescent="0.35">
      <c r="B96" s="94"/>
      <c r="C96" s="94"/>
      <c r="D96" s="113"/>
      <c r="E96" s="121"/>
      <c r="F96" s="113"/>
      <c r="G96" s="121"/>
      <c r="H96" s="113"/>
      <c r="I96" s="121"/>
      <c r="J96" s="113"/>
      <c r="K96" s="121"/>
      <c r="L96" s="136"/>
      <c r="M96" s="136"/>
      <c r="N96" s="113"/>
      <c r="O96" s="121"/>
      <c r="P96" s="113"/>
      <c r="Q96" s="301"/>
      <c r="R96" s="113"/>
      <c r="S96" s="301"/>
      <c r="T96" s="113"/>
      <c r="U96" s="301"/>
    </row>
    <row r="97" spans="2:21" ht="15" thickBot="1" x14ac:dyDescent="0.35">
      <c r="B97" s="95" t="s">
        <v>62</v>
      </c>
      <c r="C97" s="95" t="s">
        <v>63</v>
      </c>
      <c r="D97" s="114">
        <f t="shared" ref="D97:I97" si="51">SUM(D98:D104)</f>
        <v>6230.688000000001</v>
      </c>
      <c r="E97" s="122">
        <f t="shared" si="51"/>
        <v>6529.851999999999</v>
      </c>
      <c r="F97" s="114">
        <f t="shared" si="51"/>
        <v>19876.075740000004</v>
      </c>
      <c r="G97" s="122">
        <f t="shared" si="51"/>
        <v>22014.203999999998</v>
      </c>
      <c r="H97" s="114">
        <f t="shared" si="51"/>
        <v>24533</v>
      </c>
      <c r="I97" s="122">
        <f t="shared" si="51"/>
        <v>25069</v>
      </c>
      <c r="J97" s="114">
        <f t="shared" ref="J97:K97" si="52">SUM(J98:J104)</f>
        <v>31226</v>
      </c>
      <c r="K97" s="122">
        <f t="shared" si="52"/>
        <v>27733</v>
      </c>
      <c r="L97" s="136"/>
      <c r="M97" s="136"/>
      <c r="N97" s="114">
        <f t="shared" ref="N97:S97" si="53">SUM(N98:N104)</f>
        <v>18961.314668289713</v>
      </c>
      <c r="O97" s="122">
        <f t="shared" si="53"/>
        <v>21141.101434260367</v>
      </c>
      <c r="P97" s="114">
        <f t="shared" si="53"/>
        <v>61581.595426942629</v>
      </c>
      <c r="Q97" s="302">
        <f t="shared" si="53"/>
        <v>61738.800235577866</v>
      </c>
      <c r="R97" s="114">
        <f t="shared" si="53"/>
        <v>69715.828360329644</v>
      </c>
      <c r="S97" s="302">
        <f t="shared" si="53"/>
        <v>63185.88531821045</v>
      </c>
      <c r="T97" s="114">
        <f t="shared" ref="T97:U97" si="54">SUM(T98:T104)</f>
        <v>84137.633713254094</v>
      </c>
      <c r="U97" s="302">
        <f t="shared" si="54"/>
        <v>70183.47462988738</v>
      </c>
    </row>
    <row r="98" spans="2:21" x14ac:dyDescent="0.3">
      <c r="B98" s="94" t="s">
        <v>64</v>
      </c>
      <c r="C98" s="94" t="s">
        <v>24</v>
      </c>
      <c r="D98" s="115">
        <v>1900.8979999999999</v>
      </c>
      <c r="E98" s="123">
        <v>1629.498</v>
      </c>
      <c r="F98" s="115">
        <v>13278.101674</v>
      </c>
      <c r="G98" s="123">
        <v>8008.2060000000001</v>
      </c>
      <c r="H98" s="115">
        <v>12679</v>
      </c>
      <c r="I98" s="123">
        <v>12658</v>
      </c>
      <c r="J98" s="115">
        <v>12658</v>
      </c>
      <c r="K98" s="123">
        <v>12658</v>
      </c>
      <c r="L98" s="136"/>
      <c r="M98" s="136"/>
      <c r="N98" s="115">
        <f t="shared" ref="N98:N104" si="55">+D98/O$51*1000</f>
        <v>5784.8387096774186</v>
      </c>
      <c r="O98" s="123">
        <f t="shared" ref="O98:O104" si="56">+E98/N$51*1000</f>
        <v>5275.6758506815167</v>
      </c>
      <c r="P98" s="115">
        <f t="shared" ref="P98:P104" si="57">F98/$P$51*1000</f>
        <v>41139.241770975335</v>
      </c>
      <c r="Q98" s="303">
        <f>G98/Q$51*1000</f>
        <v>22459.001037664413</v>
      </c>
      <c r="R98" s="115">
        <f>H98/R$51*1000</f>
        <v>36030.122193805066</v>
      </c>
      <c r="S98" s="303">
        <f>I98/S$51*1000</f>
        <v>31904.221802142405</v>
      </c>
      <c r="T98" s="115">
        <f>J98/T$51*1000</f>
        <v>34106.647266456501</v>
      </c>
      <c r="U98" s="303">
        <f>K98/U$51*1000</f>
        <v>32033.405036062257</v>
      </c>
    </row>
    <row r="99" spans="2:21" x14ac:dyDescent="0.3">
      <c r="B99" s="94" t="s">
        <v>65</v>
      </c>
      <c r="C99" s="94" t="s">
        <v>66</v>
      </c>
      <c r="D99" s="115">
        <v>3436.2719999999999</v>
      </c>
      <c r="E99" s="123">
        <v>3529.739</v>
      </c>
      <c r="F99" s="115">
        <v>4197.3175840000004</v>
      </c>
      <c r="G99" s="123">
        <v>10957.118</v>
      </c>
      <c r="H99" s="115">
        <v>7864</v>
      </c>
      <c r="I99" s="123">
        <v>6367</v>
      </c>
      <c r="J99" s="115">
        <v>10460</v>
      </c>
      <c r="K99" s="123">
        <v>8863</v>
      </c>
      <c r="L99" s="136"/>
      <c r="M99" s="136"/>
      <c r="N99" s="115">
        <f t="shared" si="55"/>
        <v>10457.309799147899</v>
      </c>
      <c r="O99" s="123">
        <f t="shared" si="56"/>
        <v>11427.91141904361</v>
      </c>
      <c r="P99" s="115">
        <f t="shared" si="57"/>
        <v>13004.454033957121</v>
      </c>
      <c r="Q99" s="303">
        <f>G99/Q$51*1000</f>
        <v>30729.220068990664</v>
      </c>
      <c r="R99" s="115">
        <f>H99/R$51*1000</f>
        <v>22347.257743677183</v>
      </c>
      <c r="S99" s="303">
        <f>I99/S$51*1000</f>
        <v>16047.889098928796</v>
      </c>
      <c r="T99" s="115">
        <f>J99/T$51*1000</f>
        <v>28184.19421765958</v>
      </c>
      <c r="U99" s="303">
        <f>K99/U$51*1000</f>
        <v>22429.45716816399</v>
      </c>
    </row>
    <row r="100" spans="2:21" x14ac:dyDescent="0.3">
      <c r="B100" s="94" t="s">
        <v>177</v>
      </c>
      <c r="C100" s="94" t="s">
        <v>68</v>
      </c>
      <c r="D100" s="115">
        <v>121.72499999999999</v>
      </c>
      <c r="E100" s="123">
        <v>101.464</v>
      </c>
      <c r="F100" s="115">
        <v>832.78013699999997</v>
      </c>
      <c r="G100" s="123">
        <v>939.17200000000003</v>
      </c>
      <c r="H100" s="115">
        <v>990</v>
      </c>
      <c r="I100" s="123">
        <v>1723</v>
      </c>
      <c r="J100" s="115">
        <v>2224</v>
      </c>
      <c r="K100" s="123">
        <v>2387</v>
      </c>
      <c r="L100" s="136"/>
      <c r="M100" s="136"/>
      <c r="N100" s="115">
        <f t="shared" si="55"/>
        <v>370.43517954960436</v>
      </c>
      <c r="O100" s="123">
        <f t="shared" si="56"/>
        <v>328.50066370965129</v>
      </c>
      <c r="P100" s="115">
        <f t="shared" si="57"/>
        <v>2580.1838424835792</v>
      </c>
      <c r="Q100" s="303">
        <f>G100/Q$51*1000</f>
        <v>2633.9063858428917</v>
      </c>
      <c r="R100" s="115">
        <f>H100/R$51*1000</f>
        <v>2813.2992327365728</v>
      </c>
      <c r="S100" s="303">
        <f>I100/S$51*1000</f>
        <v>4342.7851291745428</v>
      </c>
      <c r="T100" s="115">
        <f>J100/T$51*1000</f>
        <v>5992.5093632958806</v>
      </c>
      <c r="U100" s="303">
        <f>K100/U$51*1000</f>
        <v>6040.7440212577503</v>
      </c>
    </row>
    <row r="101" spans="2:21" x14ac:dyDescent="0.3">
      <c r="B101" s="94" t="s">
        <v>69</v>
      </c>
      <c r="C101" s="94" t="s">
        <v>70</v>
      </c>
      <c r="D101" s="115">
        <v>234.131</v>
      </c>
      <c r="E101" s="123">
        <v>353.82499999999999</v>
      </c>
      <c r="F101" s="115">
        <v>590.39205900000002</v>
      </c>
      <c r="G101" s="123">
        <v>655.54700000000003</v>
      </c>
      <c r="H101" s="115">
        <v>1093</v>
      </c>
      <c r="I101" s="123">
        <v>1847</v>
      </c>
      <c r="J101" s="115">
        <v>2224</v>
      </c>
      <c r="K101" s="123">
        <v>831</v>
      </c>
      <c r="L101" s="136"/>
      <c r="M101" s="136"/>
      <c r="N101" s="115">
        <f t="shared" si="55"/>
        <v>712.51065124771753</v>
      </c>
      <c r="O101" s="123">
        <f t="shared" si="56"/>
        <v>1145.5466701201151</v>
      </c>
      <c r="P101" s="115">
        <f t="shared" si="57"/>
        <v>1829.1983486181684</v>
      </c>
      <c r="Q101" s="303">
        <f>G101/Q$51*1000</f>
        <v>1838.4805227585048</v>
      </c>
      <c r="R101" s="115">
        <f>H101/R$51*1000</f>
        <v>3105.996021597045</v>
      </c>
      <c r="S101" s="303">
        <f>I101/S$51*1000</f>
        <v>4655.3245116572143</v>
      </c>
      <c r="T101" s="115">
        <f>J101/T$51*1000</f>
        <v>5992.5093632958806</v>
      </c>
      <c r="U101" s="303">
        <f>K101/U$51*1000</f>
        <v>2102.9988611919525</v>
      </c>
    </row>
    <row r="102" spans="2:21" x14ac:dyDescent="0.3">
      <c r="B102" s="94" t="s">
        <v>71</v>
      </c>
      <c r="C102" s="94" t="s">
        <v>72</v>
      </c>
      <c r="D102" s="115">
        <v>289.25599999999997</v>
      </c>
      <c r="E102" s="123">
        <v>479.44099999999997</v>
      </c>
      <c r="F102" s="115">
        <v>532.14335300000005</v>
      </c>
      <c r="G102" s="123">
        <v>615.82399999999996</v>
      </c>
      <c r="H102" s="115">
        <v>876</v>
      </c>
      <c r="I102" s="123">
        <v>897</v>
      </c>
      <c r="J102" s="115">
        <v>1493</v>
      </c>
      <c r="K102" s="123">
        <v>1256</v>
      </c>
      <c r="L102" s="136"/>
      <c r="M102" s="136"/>
      <c r="N102" s="115">
        <f t="shared" si="55"/>
        <v>880.2678027997564</v>
      </c>
      <c r="O102" s="123">
        <f t="shared" si="56"/>
        <v>1552.2420435782042</v>
      </c>
      <c r="P102" s="115">
        <f t="shared" si="57"/>
        <v>1648.727701697856</v>
      </c>
      <c r="Q102" s="303">
        <f>G102/Q$51*1000</f>
        <v>1727.0774322012508</v>
      </c>
      <c r="R102" s="115">
        <f>H102/R$51*1000</f>
        <v>2489.3435635123615</v>
      </c>
      <c r="S102" s="303">
        <f>I102/S$51*1000</f>
        <v>2260.869565217391</v>
      </c>
      <c r="T102" s="115">
        <f>J102/T$51*1000</f>
        <v>4022.8491364212005</v>
      </c>
      <c r="U102" s="303">
        <f>K102/U$51*1000</f>
        <v>3178.5397950145516</v>
      </c>
    </row>
    <row r="103" spans="2:21" x14ac:dyDescent="0.3">
      <c r="B103" s="94" t="s">
        <v>73</v>
      </c>
      <c r="C103" s="94" t="s">
        <v>74</v>
      </c>
      <c r="D103" s="115">
        <v>248.40600000000001</v>
      </c>
      <c r="E103" s="123">
        <v>160.53399999999999</v>
      </c>
      <c r="F103" s="115">
        <v>114.59032500000001</v>
      </c>
      <c r="G103" s="123">
        <v>487.80900000000003</v>
      </c>
      <c r="H103" s="115">
        <v>395</v>
      </c>
      <c r="I103" s="123">
        <v>567</v>
      </c>
      <c r="J103" s="115">
        <v>963</v>
      </c>
      <c r="K103" s="123">
        <v>798</v>
      </c>
      <c r="L103" s="136"/>
      <c r="M103" s="136"/>
      <c r="N103" s="115">
        <f t="shared" si="55"/>
        <v>755.9525258673159</v>
      </c>
      <c r="O103" s="123">
        <f t="shared" si="56"/>
        <v>519.74617152847463</v>
      </c>
      <c r="P103" s="115">
        <f t="shared" si="57"/>
        <v>355.03260936919077</v>
      </c>
      <c r="Q103" s="303">
        <f>G103/Q$51*1000</f>
        <v>1368.0595675463444</v>
      </c>
      <c r="R103" s="115">
        <f>H103/R$51*1000</f>
        <v>1122.4779766979257</v>
      </c>
      <c r="S103" s="303">
        <f>I103/S$51*1000</f>
        <v>1429.1115311909264</v>
      </c>
      <c r="T103" s="115">
        <f>J103/T$51*1000</f>
        <v>2594.7781100961929</v>
      </c>
      <c r="U103" s="303">
        <f>K103/U$51*1000</f>
        <v>2019.4862710363152</v>
      </c>
    </row>
    <row r="104" spans="2:21" x14ac:dyDescent="0.3">
      <c r="B104" s="94" t="s">
        <v>75</v>
      </c>
      <c r="C104" s="94" t="s">
        <v>76</v>
      </c>
      <c r="D104" s="113">
        <v>0</v>
      </c>
      <c r="E104" s="121">
        <v>275.351</v>
      </c>
      <c r="F104" s="113">
        <v>330.750608</v>
      </c>
      <c r="G104" s="121">
        <v>350.52800000000002</v>
      </c>
      <c r="H104" s="113">
        <v>636</v>
      </c>
      <c r="I104" s="121">
        <v>1010</v>
      </c>
      <c r="J104" s="113">
        <v>1204</v>
      </c>
      <c r="K104" s="121">
        <v>940</v>
      </c>
      <c r="L104" s="136"/>
      <c r="M104" s="136"/>
      <c r="N104" s="113">
        <f t="shared" si="55"/>
        <v>0</v>
      </c>
      <c r="O104" s="121">
        <f t="shared" si="56"/>
        <v>891.47861559879561</v>
      </c>
      <c r="P104" s="115">
        <f t="shared" si="57"/>
        <v>1024.7571198413682</v>
      </c>
      <c r="Q104" s="303">
        <f>G104/Q$51*1000</f>
        <v>983.05522057380051</v>
      </c>
      <c r="R104" s="115">
        <f>H104/R$51*1000</f>
        <v>1807.3316283034956</v>
      </c>
      <c r="S104" s="303">
        <f>I104/S$51*1000</f>
        <v>2545.6836798991808</v>
      </c>
      <c r="T104" s="115">
        <f>J104/T$51*1000</f>
        <v>3244.1462560288851</v>
      </c>
      <c r="U104" s="303">
        <f>K104/U$51*1000</f>
        <v>2378.8434771605721</v>
      </c>
    </row>
    <row r="105" spans="2:21" ht="15" thickBot="1" x14ac:dyDescent="0.35">
      <c r="B105" s="94"/>
      <c r="C105" s="94"/>
      <c r="D105" s="113"/>
      <c r="E105" s="121"/>
      <c r="F105" s="113"/>
      <c r="G105" s="121"/>
      <c r="H105" s="113"/>
      <c r="I105" s="121"/>
      <c r="J105" s="113"/>
      <c r="K105" s="121"/>
      <c r="L105" s="136"/>
      <c r="M105" s="136"/>
      <c r="N105" s="113"/>
      <c r="O105" s="121"/>
      <c r="P105" s="113"/>
      <c r="Q105" s="301"/>
      <c r="R105" s="113"/>
      <c r="S105" s="301"/>
      <c r="T105" s="113"/>
      <c r="U105" s="301"/>
    </row>
    <row r="106" spans="2:21" ht="15" thickBot="1" x14ac:dyDescent="0.35">
      <c r="B106" s="95" t="s">
        <v>77</v>
      </c>
      <c r="C106" s="95" t="s">
        <v>78</v>
      </c>
      <c r="D106" s="111">
        <f t="shared" ref="D106:I106" si="58">SUM(D107:D114)</f>
        <v>3920.2220000000002</v>
      </c>
      <c r="E106" s="119">
        <f t="shared" si="58"/>
        <v>4292.7309999999989</v>
      </c>
      <c r="F106" s="111">
        <f t="shared" si="58"/>
        <v>7025.2305310000002</v>
      </c>
      <c r="G106" s="119">
        <f t="shared" si="58"/>
        <v>8236.7389999999996</v>
      </c>
      <c r="H106" s="111">
        <f t="shared" si="58"/>
        <v>10525</v>
      </c>
      <c r="I106" s="119">
        <f t="shared" si="58"/>
        <v>11910</v>
      </c>
      <c r="J106" s="111">
        <f t="shared" ref="J106:K106" si="59">SUM(J107:J114)</f>
        <v>19318</v>
      </c>
      <c r="K106" s="119">
        <f t="shared" si="59"/>
        <v>21233</v>
      </c>
      <c r="L106" s="136"/>
      <c r="M106" s="136"/>
      <c r="N106" s="111">
        <f t="shared" ref="N106:S106" si="60">SUM(N107:N114)</f>
        <v>11930.073037127204</v>
      </c>
      <c r="O106" s="119">
        <f t="shared" si="60"/>
        <v>13898.180464272995</v>
      </c>
      <c r="P106" s="111">
        <f t="shared" si="60"/>
        <v>21766.11268744578</v>
      </c>
      <c r="Q106" s="299">
        <f t="shared" si="60"/>
        <v>23099.921474044368</v>
      </c>
      <c r="R106" s="111">
        <f t="shared" si="60"/>
        <v>29909.065075305483</v>
      </c>
      <c r="S106" s="299">
        <f t="shared" si="60"/>
        <v>30018.903591682421</v>
      </c>
      <c r="T106" s="111">
        <f t="shared" ref="T106:U106" si="61">SUM(T107:T114)</f>
        <v>52051.841672729228</v>
      </c>
      <c r="U106" s="299">
        <f t="shared" si="61"/>
        <v>53734.025053777048</v>
      </c>
    </row>
    <row r="107" spans="2:21" x14ac:dyDescent="0.3">
      <c r="B107" s="94" t="s">
        <v>178</v>
      </c>
      <c r="C107" s="94" t="s">
        <v>312</v>
      </c>
      <c r="D107" s="112">
        <v>341.05700000000002</v>
      </c>
      <c r="E107" s="120">
        <v>754.86</v>
      </c>
      <c r="F107" s="112">
        <v>1678.328323</v>
      </c>
      <c r="G107" s="120">
        <v>361.55500000000001</v>
      </c>
      <c r="H107" s="112">
        <v>2260</v>
      </c>
      <c r="I107" s="120">
        <v>0</v>
      </c>
      <c r="J107" s="112">
        <v>1415</v>
      </c>
      <c r="K107" s="120">
        <v>1722</v>
      </c>
      <c r="L107" s="136"/>
      <c r="M107" s="136"/>
      <c r="N107" s="112">
        <f t="shared" ref="N107:N114" si="62">+D107/O$51*1000</f>
        <v>1037.9093122337188</v>
      </c>
      <c r="O107" s="120">
        <f t="shared" ref="O107:O114" si="63">+E107/N$51*1000</f>
        <v>2443.9408165247514</v>
      </c>
      <c r="P107" s="112">
        <f>F107/$P$51*1000</f>
        <v>5199.9266420869999</v>
      </c>
      <c r="Q107" s="300">
        <f>G107/Q$51*1000</f>
        <v>1013.9804246010602</v>
      </c>
      <c r="R107" s="112">
        <f>H107/R$51*1000</f>
        <v>6422.2790565501573</v>
      </c>
      <c r="S107" s="300">
        <f>I107/S$51*1000</f>
        <v>0</v>
      </c>
      <c r="T107" s="112">
        <f>J107/T$51*1000</f>
        <v>3812.6801929243125</v>
      </c>
      <c r="U107" s="300">
        <f>K107/U$51*1000</f>
        <v>4357.8387953941537</v>
      </c>
    </row>
    <row r="108" spans="2:21" x14ac:dyDescent="0.3">
      <c r="B108" s="94" t="s">
        <v>80</v>
      </c>
      <c r="C108" s="94" t="s">
        <v>179</v>
      </c>
      <c r="D108" s="112">
        <v>1077.817</v>
      </c>
      <c r="E108" s="120">
        <v>74.227999999999994</v>
      </c>
      <c r="F108" s="112">
        <v>96.534999999999997</v>
      </c>
      <c r="G108" s="120">
        <v>2391.13</v>
      </c>
      <c r="H108" s="112">
        <v>1002</v>
      </c>
      <c r="I108" s="120">
        <v>446</v>
      </c>
      <c r="J108" s="112">
        <v>0</v>
      </c>
      <c r="K108" s="120">
        <v>0</v>
      </c>
      <c r="L108" s="136"/>
      <c r="M108" s="136"/>
      <c r="N108" s="112">
        <f t="shared" si="62"/>
        <v>3280.0273889227019</v>
      </c>
      <c r="O108" s="120">
        <f t="shared" si="63"/>
        <v>240.32117071907271</v>
      </c>
      <c r="P108" s="112">
        <f t="shared" ref="P108:P114" si="64">F108/$P$51*1000</f>
        <v>299.09220473416781</v>
      </c>
      <c r="Q108" s="300">
        <f>G108/Q$51*1000</f>
        <v>6705.9202961550327</v>
      </c>
      <c r="R108" s="112">
        <f>H108/R$51*1000</f>
        <v>2847.3998294970161</v>
      </c>
      <c r="S108" s="300">
        <f>I108/S$51*1000</f>
        <v>1124.1335853812225</v>
      </c>
      <c r="T108" s="112">
        <f>J108/T$51*1000</f>
        <v>0</v>
      </c>
      <c r="U108" s="300">
        <f>K108/U$51*1000</f>
        <v>0</v>
      </c>
    </row>
    <row r="109" spans="2:21" x14ac:dyDescent="0.3">
      <c r="B109" s="94" t="s">
        <v>338</v>
      </c>
      <c r="C109" s="94" t="s">
        <v>410</v>
      </c>
      <c r="D109" s="112"/>
      <c r="E109" s="120"/>
      <c r="F109" s="112"/>
      <c r="G109" s="120">
        <v>108.55500000000001</v>
      </c>
      <c r="H109" s="112">
        <v>155</v>
      </c>
      <c r="I109" s="120">
        <v>238</v>
      </c>
      <c r="J109" s="112">
        <v>421</v>
      </c>
      <c r="K109" s="120">
        <v>480</v>
      </c>
      <c r="L109" s="136"/>
      <c r="M109" s="136"/>
      <c r="N109" s="112"/>
      <c r="O109" s="120"/>
      <c r="P109" s="112"/>
      <c r="Q109" s="300">
        <f>G109/Q$51*1000</f>
        <v>304.44232549008609</v>
      </c>
      <c r="R109" s="112">
        <f>H109/R$51*1000</f>
        <v>440.46604148905942</v>
      </c>
      <c r="S109" s="300">
        <f>I109/S$51*1000</f>
        <v>599.87397605545061</v>
      </c>
      <c r="T109" s="112">
        <f>J109/T$51*1000</f>
        <v>1134.3734001562796</v>
      </c>
      <c r="U109" s="300">
        <f>K109/U$51*1000</f>
        <v>1214.7285840819943</v>
      </c>
    </row>
    <row r="110" spans="2:21" x14ac:dyDescent="0.3">
      <c r="B110" s="94" t="s">
        <v>89</v>
      </c>
      <c r="C110" s="94" t="s">
        <v>90</v>
      </c>
      <c r="D110" s="112">
        <v>59.829000000000001</v>
      </c>
      <c r="E110" s="120">
        <v>405.03399999999999</v>
      </c>
      <c r="F110" s="112">
        <v>156.95516000000001</v>
      </c>
      <c r="G110" s="120">
        <v>482.43299999999999</v>
      </c>
      <c r="H110" s="112">
        <v>35</v>
      </c>
      <c r="I110" s="120">
        <v>0</v>
      </c>
      <c r="J110" s="112">
        <v>678</v>
      </c>
      <c r="K110" s="120">
        <v>37</v>
      </c>
      <c r="L110" s="136"/>
      <c r="M110" s="136"/>
      <c r="N110" s="112">
        <f>+D110/O$51*1000</f>
        <v>182.07242848447962</v>
      </c>
      <c r="O110" s="120">
        <f>+E110/N$51*1000</f>
        <v>1311.3413410172564</v>
      </c>
      <c r="P110" s="112">
        <f>F110/$P$51*1000</f>
        <v>486.29061841616067</v>
      </c>
      <c r="Q110" s="300">
        <f>G110/Q$51*1000</f>
        <v>1352.98258406484</v>
      </c>
      <c r="R110" s="112">
        <f>H110/R$51*1000</f>
        <v>99.460073884626325</v>
      </c>
      <c r="S110" s="300">
        <f>I110/S$51*1000</f>
        <v>0</v>
      </c>
      <c r="T110" s="112">
        <f>J110/T$51*1000</f>
        <v>1826.8531242421793</v>
      </c>
      <c r="U110" s="300">
        <f>K110/U$51*1000</f>
        <v>93.6353283563204</v>
      </c>
    </row>
    <row r="111" spans="2:21" x14ac:dyDescent="0.3">
      <c r="B111" s="94" t="s">
        <v>81</v>
      </c>
      <c r="C111" s="94" t="s">
        <v>82</v>
      </c>
      <c r="D111" s="112">
        <v>938.822</v>
      </c>
      <c r="E111" s="120">
        <v>631.53899999999999</v>
      </c>
      <c r="F111" s="112">
        <v>355.83098100000001</v>
      </c>
      <c r="G111" s="120">
        <v>625.83100000000002</v>
      </c>
      <c r="H111" s="112">
        <v>1745</v>
      </c>
      <c r="I111" s="120">
        <v>2765</v>
      </c>
      <c r="J111" s="112">
        <v>1525</v>
      </c>
      <c r="K111" s="120">
        <v>3052</v>
      </c>
      <c r="L111" s="136"/>
      <c r="M111" s="136"/>
      <c r="N111" s="112">
        <f t="shared" si="62"/>
        <v>2857.0359099208763</v>
      </c>
      <c r="O111" s="120">
        <f t="shared" si="63"/>
        <v>2044.6757535532747</v>
      </c>
      <c r="P111" s="112">
        <f t="shared" si="64"/>
        <v>1102.4630716321726</v>
      </c>
      <c r="Q111" s="300">
        <f>G111/Q$51*1000</f>
        <v>1755.142047844743</v>
      </c>
      <c r="R111" s="112">
        <f>H111/R$51*1000</f>
        <v>4958.795112247798</v>
      </c>
      <c r="S111" s="300">
        <f>I111/S$51*1000</f>
        <v>6969.1241335853811</v>
      </c>
      <c r="T111" s="112">
        <f>J111/T$51*1000</f>
        <v>4109.0722927276156</v>
      </c>
      <c r="U111" s="300">
        <f>K111/U$51*1000</f>
        <v>7723.6492471213469</v>
      </c>
    </row>
    <row r="112" spans="2:21" x14ac:dyDescent="0.3">
      <c r="B112" s="94" t="s">
        <v>83</v>
      </c>
      <c r="C112" s="94" t="s">
        <v>84</v>
      </c>
      <c r="D112" s="112">
        <v>139.31</v>
      </c>
      <c r="E112" s="120">
        <v>834.55399999999997</v>
      </c>
      <c r="F112" s="112">
        <v>564.485771</v>
      </c>
      <c r="G112" s="120">
        <v>972.18299999999999</v>
      </c>
      <c r="H112" s="112">
        <v>403</v>
      </c>
      <c r="I112" s="120">
        <v>0</v>
      </c>
      <c r="J112" s="112">
        <v>1787</v>
      </c>
      <c r="K112" s="120">
        <v>978</v>
      </c>
      <c r="L112" s="136"/>
      <c r="M112" s="136"/>
      <c r="N112" s="112">
        <f t="shared" si="62"/>
        <v>423.95009129640897</v>
      </c>
      <c r="O112" s="120">
        <f t="shared" si="63"/>
        <v>2701.9587528733769</v>
      </c>
      <c r="P112" s="112">
        <f t="shared" si="64"/>
        <v>1748.9334830834055</v>
      </c>
      <c r="Q112" s="300">
        <f>G112/Q$51*1000</f>
        <v>2726.4856830355893</v>
      </c>
      <c r="R112" s="112">
        <f>H112/R$51*1000</f>
        <v>1145.2117078715544</v>
      </c>
      <c r="S112" s="300">
        <f>I112/S$51*1000</f>
        <v>0</v>
      </c>
      <c r="T112" s="112">
        <f>J112/T$51*1000</f>
        <v>4815.0243849863928</v>
      </c>
      <c r="U112" s="300">
        <f>K112/U$51*1000</f>
        <v>2475.0094900670633</v>
      </c>
    </row>
    <row r="113" spans="2:21" ht="18" customHeight="1" x14ac:dyDescent="0.3">
      <c r="B113" s="94" t="s">
        <v>85</v>
      </c>
      <c r="C113" s="94" t="s">
        <v>86</v>
      </c>
      <c r="D113" s="112">
        <v>1325.915</v>
      </c>
      <c r="E113" s="120">
        <v>1539.8879999999999</v>
      </c>
      <c r="F113" s="112">
        <v>477.98033900000001</v>
      </c>
      <c r="G113" s="120">
        <v>3215.2779999999998</v>
      </c>
      <c r="H113" s="112">
        <v>4604</v>
      </c>
      <c r="I113" s="120">
        <v>7407</v>
      </c>
      <c r="J113" s="112">
        <v>11972</v>
      </c>
      <c r="K113" s="120">
        <v>14358</v>
      </c>
      <c r="L113" s="136"/>
      <c r="M113" s="136"/>
      <c r="N113" s="112">
        <f t="shared" si="62"/>
        <v>4035.0426049908697</v>
      </c>
      <c r="O113" s="120">
        <f t="shared" si="63"/>
        <v>4985.5537928578369</v>
      </c>
      <c r="P113" s="112">
        <f t="shared" si="64"/>
        <v>1480.9156617920439</v>
      </c>
      <c r="Q113" s="300">
        <f>G113/Q$51*1000</f>
        <v>9017.2420562582392</v>
      </c>
      <c r="R113" s="112">
        <f>H113/R$51*1000</f>
        <v>13083.262290423416</v>
      </c>
      <c r="S113" s="300">
        <f>I113/S$51*1000</f>
        <v>18669.187145557658</v>
      </c>
      <c r="T113" s="112">
        <f>J113/T$51*1000</f>
        <v>32258.238353137713</v>
      </c>
      <c r="U113" s="300">
        <f>K113/U$51*1000</f>
        <v>36335.568771352657</v>
      </c>
    </row>
    <row r="114" spans="2:21" x14ac:dyDescent="0.3">
      <c r="B114" s="94" t="s">
        <v>87</v>
      </c>
      <c r="C114" s="94" t="s">
        <v>88</v>
      </c>
      <c r="D114" s="112">
        <v>37.472000000000001</v>
      </c>
      <c r="E114" s="120">
        <v>52.628</v>
      </c>
      <c r="F114" s="112">
        <v>3695.1149569999998</v>
      </c>
      <c r="G114" s="120">
        <v>79.774000000000001</v>
      </c>
      <c r="H114" s="112">
        <v>321</v>
      </c>
      <c r="I114" s="120">
        <v>1054</v>
      </c>
      <c r="J114" s="112">
        <v>1520</v>
      </c>
      <c r="K114" s="120">
        <v>606</v>
      </c>
      <c r="L114" s="136"/>
      <c r="M114" s="136"/>
      <c r="N114" s="112">
        <f t="shared" si="62"/>
        <v>114.03530127814972</v>
      </c>
      <c r="O114" s="120">
        <f t="shared" si="63"/>
        <v>170.38883672742577</v>
      </c>
      <c r="P114" s="112">
        <f t="shared" si="64"/>
        <v>11448.491005700831</v>
      </c>
      <c r="Q114" s="300">
        <f>G114/Q$51*1000</f>
        <v>223.72605659477804</v>
      </c>
      <c r="R114" s="112">
        <f>H114/R$51*1000</f>
        <v>912.19096334185861</v>
      </c>
      <c r="S114" s="300">
        <f>I114/S$51*1000</f>
        <v>2656.5847511027096</v>
      </c>
      <c r="T114" s="112">
        <f>J114/T$51*1000</f>
        <v>4095.5999245547387</v>
      </c>
      <c r="U114" s="300">
        <f>K114/U$51*1000</f>
        <v>1533.5948374035177</v>
      </c>
    </row>
    <row r="115" spans="2:21" ht="15" thickBot="1" x14ac:dyDescent="0.35">
      <c r="B115" s="94"/>
      <c r="C115" s="94"/>
      <c r="D115" s="113"/>
      <c r="E115" s="121"/>
      <c r="F115" s="113"/>
      <c r="G115" s="121"/>
      <c r="H115" s="113"/>
      <c r="I115" s="121"/>
      <c r="J115" s="113"/>
      <c r="K115" s="121"/>
      <c r="L115" s="136"/>
      <c r="M115" s="136"/>
      <c r="N115" s="113"/>
      <c r="O115" s="121"/>
      <c r="P115" s="113"/>
      <c r="Q115" s="301"/>
      <c r="R115" s="113"/>
      <c r="S115" s="301"/>
      <c r="T115" s="113"/>
      <c r="U115" s="301"/>
    </row>
    <row r="116" spans="2:21" ht="30" thickTop="1" thickBot="1" x14ac:dyDescent="0.35">
      <c r="B116" s="96" t="s">
        <v>91</v>
      </c>
      <c r="C116" s="96" t="s">
        <v>92</v>
      </c>
      <c r="D116" s="116">
        <f t="shared" ref="D116:I116" si="65">+D106+D97+D85</f>
        <v>14819.844000000001</v>
      </c>
      <c r="E116" s="124">
        <f t="shared" si="65"/>
        <v>15927.020999999999</v>
      </c>
      <c r="F116" s="116">
        <f t="shared" si="65"/>
        <v>33211.463546000006</v>
      </c>
      <c r="G116" s="124">
        <f t="shared" si="65"/>
        <v>37837.531999999999</v>
      </c>
      <c r="H116" s="116">
        <f t="shared" si="65"/>
        <v>49095</v>
      </c>
      <c r="I116" s="124">
        <f t="shared" si="65"/>
        <v>66236</v>
      </c>
      <c r="J116" s="116">
        <f t="shared" ref="J116:K116" si="66">+J106+J97+J85</f>
        <v>83124</v>
      </c>
      <c r="K116" s="124">
        <f t="shared" si="66"/>
        <v>82683</v>
      </c>
      <c r="L116" s="136"/>
      <c r="M116" s="136"/>
      <c r="N116" s="116">
        <f t="shared" ref="N116:S116" si="67">+N106+N97+N85</f>
        <v>45099.951308581862</v>
      </c>
      <c r="O116" s="124">
        <f t="shared" si="67"/>
        <v>51565.451484443285</v>
      </c>
      <c r="P116" s="116">
        <f t="shared" si="67"/>
        <v>102898.32552360889</v>
      </c>
      <c r="Q116" s="304">
        <f t="shared" si="67"/>
        <v>106115.29853885632</v>
      </c>
      <c r="R116" s="116">
        <f t="shared" si="67"/>
        <v>139514.06649616369</v>
      </c>
      <c r="S116" s="304">
        <f t="shared" si="67"/>
        <v>166946.43982356647</v>
      </c>
      <c r="T116" s="116">
        <f t="shared" ref="T116:U116" si="68">+T106+T97+T85</f>
        <v>223975.42640045262</v>
      </c>
      <c r="U116" s="304">
        <f t="shared" si="68"/>
        <v>209244.59066177398</v>
      </c>
    </row>
    <row r="117" spans="2:21" ht="15" thickTop="1" x14ac:dyDescent="0.3">
      <c r="H117" s="145"/>
      <c r="I117" s="145"/>
      <c r="J117" s="145"/>
      <c r="K117" s="145"/>
    </row>
    <row r="118" spans="2:21" x14ac:dyDescent="0.3">
      <c r="H118" s="145"/>
      <c r="I118" s="145"/>
      <c r="J118" s="145"/>
      <c r="K118" s="145"/>
    </row>
    <row r="141" spans="4:11" x14ac:dyDescent="0.3">
      <c r="D141" s="103"/>
      <c r="E141" s="103"/>
      <c r="F141" s="103"/>
      <c r="G141" s="103"/>
      <c r="H141" s="103"/>
      <c r="I141" s="103"/>
      <c r="J141" s="103"/>
      <c r="K141" s="103"/>
    </row>
    <row r="142" spans="4:11" x14ac:dyDescent="0.3">
      <c r="D142" s="103"/>
      <c r="E142" s="103"/>
      <c r="F142" s="103"/>
      <c r="G142" s="103"/>
      <c r="H142" s="103"/>
      <c r="I142" s="103"/>
      <c r="J142" s="103"/>
      <c r="K142" s="103"/>
    </row>
  </sheetData>
  <mergeCells count="4">
    <mergeCell ref="N50:O50"/>
    <mergeCell ref="N1:O1"/>
    <mergeCell ref="N27:O27"/>
    <mergeCell ref="N81:O81"/>
  </mergeCells>
  <phoneticPr fontId="3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D4B6-3BE3-42DC-9BC7-CD40A290BB7B}">
  <sheetPr codeName="Munka3"/>
  <dimension ref="A1:BL61"/>
  <sheetViews>
    <sheetView zoomScale="80" zoomScaleNormal="80" workbookViewId="0">
      <pane xSplit="3" ySplit="4" topLeftCell="AD32" activePane="bottomRight" state="frozen"/>
      <selection pane="topRight" activeCell="D1" sqref="D1"/>
      <selection pane="bottomLeft" activeCell="A5" sqref="A5"/>
      <selection pane="bottomRight" activeCell="AG48" sqref="AG48:AG59"/>
    </sheetView>
  </sheetViews>
  <sheetFormatPr defaultColWidth="8.77734375" defaultRowHeight="14.4" outlineLevelRow="2" outlineLevelCol="2" x14ac:dyDescent="0.3"/>
  <cols>
    <col min="1" max="1" width="18.6640625" bestFit="1" customWidth="1"/>
    <col min="2" max="2" width="36.44140625" style="87" customWidth="1"/>
    <col min="3" max="3" width="35.33203125" style="87" customWidth="1"/>
    <col min="4" max="11" width="11.77734375" customWidth="1" outlineLevel="2"/>
    <col min="12" max="12" width="11.77734375" customWidth="1" outlineLevel="2" collapsed="1"/>
    <col min="13" max="13" width="11.77734375" customWidth="1" outlineLevel="2"/>
    <col min="14" max="14" width="12" customWidth="1" outlineLevel="2"/>
    <col min="15" max="15" width="13.6640625" customWidth="1" outlineLevel="2"/>
    <col min="16" max="19" width="14" customWidth="1" outlineLevel="2"/>
    <col min="20" max="20" width="14" customWidth="1" outlineLevel="2" collapsed="1"/>
    <col min="21" max="23" width="14" customWidth="1" outlineLevel="2"/>
    <col min="24" max="33" width="14" customWidth="1" outlineLevel="1"/>
    <col min="34" max="34" width="10.44140625" customWidth="1"/>
    <col min="35" max="35" width="15.44140625" bestFit="1" customWidth="1"/>
    <col min="36" max="37" width="15.44140625" style="103" hidden="1" customWidth="1" outlineLevel="1"/>
    <col min="38" max="43" width="15.44140625" hidden="1" customWidth="1" outlineLevel="1"/>
    <col min="44" max="44" width="13.6640625" hidden="1" customWidth="1" outlineLevel="1"/>
    <col min="45" max="45" width="14" hidden="1" customWidth="1" outlineLevel="1" collapsed="1"/>
    <col min="46" max="46" width="13.6640625" hidden="1" customWidth="1" outlineLevel="1"/>
    <col min="47" max="49" width="9.77734375" hidden="1" customWidth="1" outlineLevel="1"/>
    <col min="50" max="50" width="9.6640625" hidden="1" customWidth="1" outlineLevel="1"/>
    <col min="51" max="51" width="9.44140625" hidden="1" customWidth="1" outlineLevel="1"/>
    <col min="52" max="55" width="10.109375" hidden="1" customWidth="1" outlineLevel="1"/>
    <col min="56" max="56" width="10.109375" hidden="1" customWidth="1" outlineLevel="1" collapsed="1"/>
    <col min="57" max="57" width="10.109375" hidden="1" customWidth="1" outlineLevel="1"/>
    <col min="58" max="58" width="10.109375" customWidth="1" collapsed="1"/>
    <col min="59" max="64" width="10.109375" customWidth="1"/>
  </cols>
  <sheetData>
    <row r="1" spans="1:64" ht="18" x14ac:dyDescent="0.35">
      <c r="A1" s="241"/>
      <c r="AI1" s="422" t="s">
        <v>290</v>
      </c>
      <c r="AJ1" s="421"/>
      <c r="AK1" s="421"/>
      <c r="AL1" s="421"/>
      <c r="AM1" s="421"/>
      <c r="AN1" s="421"/>
      <c r="AO1" s="421"/>
      <c r="AP1" s="421"/>
      <c r="AQ1" s="421"/>
      <c r="AR1" s="421"/>
      <c r="AS1" s="421"/>
      <c r="AT1" s="421"/>
      <c r="AU1" s="421"/>
      <c r="AV1" s="421"/>
      <c r="AW1" s="421"/>
    </row>
    <row r="2" spans="1:64" x14ac:dyDescent="0.3">
      <c r="B2" s="242"/>
      <c r="C2" s="87" t="s">
        <v>315</v>
      </c>
      <c r="AH2" s="179" t="s">
        <v>320</v>
      </c>
      <c r="AI2" s="179">
        <v>309.11</v>
      </c>
      <c r="AJ2" s="178">
        <v>309.45999999999998</v>
      </c>
      <c r="AK2" s="178">
        <v>308.42</v>
      </c>
      <c r="AL2" s="179">
        <f>'éves P&amp;L_mérleg'!S70</f>
        <v>311.45999999999998</v>
      </c>
      <c r="AM2" s="179">
        <v>311.02999999999997</v>
      </c>
      <c r="AN2" s="179">
        <v>314.08</v>
      </c>
      <c r="AO2" s="179">
        <v>317.54000000000002</v>
      </c>
      <c r="AP2" s="179">
        <f>'éves P&amp;L_mérleg'!T70</f>
        <v>318.87</v>
      </c>
      <c r="AQ2" s="179">
        <v>318.07</v>
      </c>
      <c r="AR2" s="179">
        <v>320.57</v>
      </c>
      <c r="AS2" s="179">
        <v>323.16000000000003</v>
      </c>
      <c r="AT2" s="179">
        <v>325.35000000000002</v>
      </c>
      <c r="AU2" s="179">
        <v>339.05</v>
      </c>
      <c r="AV2" s="179">
        <v>345.15</v>
      </c>
      <c r="AW2" s="179">
        <v>348.03</v>
      </c>
      <c r="AX2" s="179">
        <v>360.58</v>
      </c>
      <c r="AY2" s="179">
        <v>361.1</v>
      </c>
      <c r="AZ2" s="179">
        <v>354.75</v>
      </c>
      <c r="BA2" s="179">
        <v>353.89</v>
      </c>
      <c r="BB2" s="179">
        <v>358.52</v>
      </c>
      <c r="BC2" s="179">
        <v>364.27</v>
      </c>
      <c r="BD2" s="179">
        <v>375.07</v>
      </c>
      <c r="BE2" s="179">
        <v>384.95</v>
      </c>
      <c r="BF2" s="179">
        <v>391.33</v>
      </c>
      <c r="BG2" s="179">
        <v>388.6</v>
      </c>
      <c r="BH2" s="179">
        <v>380.94</v>
      </c>
      <c r="BI2" s="179">
        <v>381.89</v>
      </c>
      <c r="BJ2" s="179">
        <v>381.95</v>
      </c>
      <c r="BK2" s="179">
        <v>388.19</v>
      </c>
      <c r="BL2" s="178">
        <v>389.82</v>
      </c>
    </row>
    <row r="3" spans="1:64" outlineLevel="1" x14ac:dyDescent="0.3">
      <c r="A3" s="1" t="s">
        <v>310</v>
      </c>
      <c r="B3" s="147"/>
      <c r="C3" s="147" t="s">
        <v>309</v>
      </c>
      <c r="D3" s="98" t="s">
        <v>291</v>
      </c>
      <c r="E3" s="98" t="s">
        <v>293</v>
      </c>
      <c r="F3" s="98" t="s">
        <v>294</v>
      </c>
      <c r="G3" s="98" t="s">
        <v>295</v>
      </c>
      <c r="H3" s="98" t="s">
        <v>296</v>
      </c>
      <c r="I3" s="98" t="s">
        <v>292</v>
      </c>
      <c r="J3" s="98" t="s">
        <v>297</v>
      </c>
      <c r="K3" s="98" t="s">
        <v>300</v>
      </c>
      <c r="L3" s="98" t="s">
        <v>301</v>
      </c>
      <c r="M3" s="98" t="s">
        <v>299</v>
      </c>
      <c r="N3" s="98" t="s">
        <v>298</v>
      </c>
      <c r="O3" s="98" t="s">
        <v>318</v>
      </c>
      <c r="P3" s="98" t="s">
        <v>317</v>
      </c>
      <c r="Q3" s="98" t="s">
        <v>319</v>
      </c>
      <c r="R3" s="98" t="s">
        <v>407</v>
      </c>
      <c r="S3" s="98" t="s">
        <v>436</v>
      </c>
      <c r="T3" s="98" t="s">
        <v>441</v>
      </c>
      <c r="U3" s="98" t="s">
        <v>455</v>
      </c>
      <c r="V3" s="98" t="s">
        <v>474</v>
      </c>
      <c r="W3" s="98" t="s">
        <v>473</v>
      </c>
      <c r="X3" s="98" t="s">
        <v>464</v>
      </c>
      <c r="Y3" s="98" t="s">
        <v>468</v>
      </c>
      <c r="Z3" s="98" t="s">
        <v>469</v>
      </c>
      <c r="AA3" s="98" t="s">
        <v>481</v>
      </c>
      <c r="AB3" s="98" t="s">
        <v>484</v>
      </c>
      <c r="AC3" s="98" t="s">
        <v>511</v>
      </c>
      <c r="AD3" s="98" t="s">
        <v>488</v>
      </c>
      <c r="AE3" s="98" t="s">
        <v>512</v>
      </c>
      <c r="AF3" s="133" t="s">
        <v>509</v>
      </c>
      <c r="AG3" s="98" t="s">
        <v>517</v>
      </c>
      <c r="AI3" s="98" t="s">
        <v>291</v>
      </c>
      <c r="AJ3" s="98" t="s">
        <v>293</v>
      </c>
      <c r="AK3" s="98" t="s">
        <v>294</v>
      </c>
      <c r="AL3" s="98" t="s">
        <v>295</v>
      </c>
      <c r="AM3" s="98" t="s">
        <v>296</v>
      </c>
      <c r="AN3" s="98" t="s">
        <v>292</v>
      </c>
      <c r="AO3" s="98" t="s">
        <v>297</v>
      </c>
      <c r="AP3" s="98" t="s">
        <v>300</v>
      </c>
      <c r="AQ3" s="98" t="s">
        <v>301</v>
      </c>
      <c r="AR3" s="98" t="s">
        <v>299</v>
      </c>
      <c r="AS3" s="98" t="s">
        <v>298</v>
      </c>
      <c r="AT3" s="98" t="s">
        <v>336</v>
      </c>
      <c r="AU3" s="98" t="s">
        <v>317</v>
      </c>
      <c r="AV3" s="98" t="s">
        <v>319</v>
      </c>
      <c r="AW3" s="98" t="s">
        <v>407</v>
      </c>
      <c r="AX3" s="133" t="s">
        <v>436</v>
      </c>
      <c r="AY3" s="133" t="s">
        <v>441</v>
      </c>
      <c r="AZ3" s="133" t="s">
        <v>457</v>
      </c>
      <c r="BA3" s="133" t="s">
        <v>458</v>
      </c>
      <c r="BB3" s="133" t="s">
        <v>459</v>
      </c>
      <c r="BC3" s="133" t="s">
        <v>464</v>
      </c>
      <c r="BD3" s="133" t="s">
        <v>468</v>
      </c>
      <c r="BE3" s="133" t="s">
        <v>469</v>
      </c>
      <c r="BF3" s="98" t="s">
        <v>481</v>
      </c>
      <c r="BG3" s="133" t="s">
        <v>484</v>
      </c>
      <c r="BH3" s="98" t="s">
        <v>511</v>
      </c>
      <c r="BI3" s="98" t="s">
        <v>488</v>
      </c>
      <c r="BJ3" s="98" t="s">
        <v>512</v>
      </c>
      <c r="BK3" s="133" t="s">
        <v>509</v>
      </c>
      <c r="BL3" s="98" t="s">
        <v>517</v>
      </c>
    </row>
    <row r="4" spans="1:64" outlineLevel="1" x14ac:dyDescent="0.3">
      <c r="B4" s="147" t="s">
        <v>93</v>
      </c>
      <c r="C4" s="148" t="s">
        <v>166</v>
      </c>
      <c r="D4" s="131" t="s">
        <v>170</v>
      </c>
      <c r="E4" s="131" t="s">
        <v>170</v>
      </c>
      <c r="F4" s="131" t="s">
        <v>170</v>
      </c>
      <c r="G4" s="131" t="s">
        <v>170</v>
      </c>
      <c r="H4" s="131" t="s">
        <v>170</v>
      </c>
      <c r="I4" s="131" t="s">
        <v>170</v>
      </c>
      <c r="J4" s="131" t="s">
        <v>170</v>
      </c>
      <c r="K4" s="131" t="s">
        <v>170</v>
      </c>
      <c r="L4" s="131" t="s">
        <v>170</v>
      </c>
      <c r="M4" s="131" t="s">
        <v>170</v>
      </c>
      <c r="N4" s="131" t="s">
        <v>170</v>
      </c>
      <c r="O4" s="131" t="s">
        <v>437</v>
      </c>
      <c r="P4" s="131" t="s">
        <v>170</v>
      </c>
      <c r="Q4" s="131" t="s">
        <v>170</v>
      </c>
      <c r="R4" s="131" t="s">
        <v>170</v>
      </c>
      <c r="S4" s="131" t="s">
        <v>437</v>
      </c>
      <c r="T4" s="98" t="s">
        <v>170</v>
      </c>
      <c r="U4" s="98" t="s">
        <v>170</v>
      </c>
      <c r="V4" s="98" t="s">
        <v>170</v>
      </c>
      <c r="W4" s="98" t="s">
        <v>437</v>
      </c>
      <c r="X4" s="98" t="s">
        <v>170</v>
      </c>
      <c r="Y4" s="98" t="s">
        <v>170</v>
      </c>
      <c r="Z4" s="98" t="s">
        <v>170</v>
      </c>
      <c r="AA4" s="98" t="s">
        <v>437</v>
      </c>
      <c r="AB4" s="98" t="s">
        <v>170</v>
      </c>
      <c r="AC4" s="98" t="s">
        <v>170</v>
      </c>
      <c r="AD4" s="98" t="s">
        <v>170</v>
      </c>
      <c r="AE4" s="98" t="s">
        <v>437</v>
      </c>
      <c r="AF4" s="98" t="s">
        <v>170</v>
      </c>
      <c r="AG4" s="98" t="s">
        <v>170</v>
      </c>
      <c r="AI4" s="132" t="s">
        <v>180</v>
      </c>
      <c r="AJ4" s="98" t="s">
        <v>180</v>
      </c>
      <c r="AK4" s="131" t="s">
        <v>180</v>
      </c>
      <c r="AL4" s="131" t="s">
        <v>180</v>
      </c>
      <c r="AM4" s="131" t="s">
        <v>180</v>
      </c>
      <c r="AN4" s="131" t="s">
        <v>180</v>
      </c>
      <c r="AO4" s="131" t="s">
        <v>180</v>
      </c>
      <c r="AP4" s="131" t="s">
        <v>180</v>
      </c>
      <c r="AQ4" s="131" t="s">
        <v>180</v>
      </c>
      <c r="AR4" s="131" t="s">
        <v>180</v>
      </c>
      <c r="AS4" s="131" t="s">
        <v>180</v>
      </c>
      <c r="AT4" s="131" t="s">
        <v>180</v>
      </c>
      <c r="AU4" s="131" t="s">
        <v>180</v>
      </c>
      <c r="AV4" s="131" t="s">
        <v>180</v>
      </c>
      <c r="AW4" s="131" t="s">
        <v>180</v>
      </c>
      <c r="AX4" s="98" t="s">
        <v>438</v>
      </c>
      <c r="AY4" s="98" t="s">
        <v>316</v>
      </c>
      <c r="AZ4" s="98" t="s">
        <v>316</v>
      </c>
      <c r="BA4" s="98" t="s">
        <v>316</v>
      </c>
      <c r="BB4" s="98" t="s">
        <v>438</v>
      </c>
      <c r="BC4" s="98" t="s">
        <v>316</v>
      </c>
      <c r="BD4" s="98" t="s">
        <v>316</v>
      </c>
      <c r="BE4" s="98" t="s">
        <v>316</v>
      </c>
      <c r="BF4" s="98" t="s">
        <v>438</v>
      </c>
      <c r="BG4" s="98" t="s">
        <v>316</v>
      </c>
      <c r="BH4" s="98" t="s">
        <v>316</v>
      </c>
      <c r="BI4" s="98" t="s">
        <v>316</v>
      </c>
      <c r="BJ4" s="98" t="s">
        <v>438</v>
      </c>
      <c r="BK4" s="98" t="s">
        <v>316</v>
      </c>
      <c r="BL4" s="98" t="s">
        <v>316</v>
      </c>
    </row>
    <row r="5" spans="1:64" ht="14.55" customHeight="1" outlineLevel="1" x14ac:dyDescent="0.3">
      <c r="B5" s="89" t="s">
        <v>97</v>
      </c>
      <c r="C5" s="89" t="s">
        <v>141</v>
      </c>
      <c r="D5" s="153">
        <v>4707.8136949999998</v>
      </c>
      <c r="E5" s="157">
        <v>8634.7703390000006</v>
      </c>
      <c r="F5" s="153">
        <v>12379.406604</v>
      </c>
      <c r="G5" s="157">
        <v>18389.28427</v>
      </c>
      <c r="H5" s="153">
        <v>5191.0879359999999</v>
      </c>
      <c r="I5" s="157">
        <v>9276.6434790000003</v>
      </c>
      <c r="J5" s="153">
        <v>12804</v>
      </c>
      <c r="K5" s="157">
        <v>18685.766845999999</v>
      </c>
      <c r="L5" s="153">
        <v>6494.3898570000001</v>
      </c>
      <c r="M5" s="157">
        <v>12141.442588</v>
      </c>
      <c r="N5" s="104">
        <v>17995</v>
      </c>
      <c r="O5" s="99">
        <v>25573</v>
      </c>
      <c r="P5" s="153">
        <v>9058</v>
      </c>
      <c r="Q5" s="157">
        <v>16163.527</v>
      </c>
      <c r="R5" s="104">
        <v>23469.258999999998</v>
      </c>
      <c r="S5" s="157">
        <v>32981.300999999999</v>
      </c>
      <c r="T5" s="104">
        <v>9483.7520000000004</v>
      </c>
      <c r="U5" s="306">
        <v>19781</v>
      </c>
      <c r="V5" s="104">
        <v>29049.57</v>
      </c>
      <c r="W5" s="306">
        <v>44249.447999999997</v>
      </c>
      <c r="X5" s="104">
        <v>19065.742999999999</v>
      </c>
      <c r="Y5" s="306">
        <v>37988</v>
      </c>
      <c r="Z5" s="104">
        <v>62743.976999999999</v>
      </c>
      <c r="AA5" s="306">
        <f>+'éves P&amp;L_mérleg'!M73</f>
        <v>103027</v>
      </c>
      <c r="AB5" s="104">
        <v>36056</v>
      </c>
      <c r="AC5" s="306">
        <v>58853.546000000002</v>
      </c>
      <c r="AD5" s="104">
        <v>76850.430999999997</v>
      </c>
      <c r="AE5" s="306">
        <v>98954.327000000005</v>
      </c>
      <c r="AF5" s="104">
        <v>26677.764999999999</v>
      </c>
      <c r="AG5" s="99">
        <v>49787.264000000003</v>
      </c>
      <c r="AI5" s="127">
        <f t="shared" ref="AI5:AI15" si="0">+D5/AI$2*1000</f>
        <v>15230.221264274853</v>
      </c>
      <c r="AJ5" s="99">
        <f t="shared" ref="AJ5:AJ15" si="1">+E5/AJ$2*1000</f>
        <v>27902.702575454023</v>
      </c>
      <c r="AK5" s="104">
        <f t="shared" ref="AK5:AK15" si="2">+F5/AK$2*1000</f>
        <v>40138.144750664673</v>
      </c>
      <c r="AL5" s="172">
        <f t="shared" ref="AL5:AL15" si="3">+G5/AL$2*1000</f>
        <v>59042.202112630839</v>
      </c>
      <c r="AM5" s="104">
        <f t="shared" ref="AM5:AM15" si="4">+H5/AM$2*1000</f>
        <v>16689.991113397424</v>
      </c>
      <c r="AN5" s="172">
        <f t="shared" ref="AN5:AN15" si="5">+I5/AN$2*1000</f>
        <v>29535.925493504841</v>
      </c>
      <c r="AO5" s="104">
        <f t="shared" ref="AO5:AO15" si="6">+J5/AO$2*1000</f>
        <v>40322.4790577565</v>
      </c>
      <c r="AP5" s="172">
        <f t="shared" ref="AP5:AP15" si="7">+K5/AP$2*1000</f>
        <v>58599.95247593063</v>
      </c>
      <c r="AQ5" s="104">
        <f t="shared" ref="AQ5:AQ15" si="8">+L5/AQ$2*1000</f>
        <v>20418.115059578082</v>
      </c>
      <c r="AR5" s="172">
        <f t="shared" ref="AR5:AR15" si="9">+M5/AR$2*1000</f>
        <v>37874.544055900427</v>
      </c>
      <c r="AS5" s="104">
        <f t="shared" ref="AS5:AS15" si="10">+N5/AS$2*1000</f>
        <v>55684.490654784007</v>
      </c>
      <c r="AT5" s="172">
        <f t="shared" ref="AT5:AT15" si="11">+O5/AT$2*1000</f>
        <v>78601.506070385745</v>
      </c>
      <c r="AU5" s="104">
        <f t="shared" ref="AU5:AU15" si="12">+P5/AU$2*1000</f>
        <v>26715.823624834095</v>
      </c>
      <c r="AV5" s="172">
        <f t="shared" ref="AV5:AV15" si="13">+Q5/AV$2*1000</f>
        <v>46830.441836882521</v>
      </c>
      <c r="AW5" s="104">
        <f t="shared" ref="AW5:AW15" si="14">+R5/AW$2*1000</f>
        <v>67434.586098899512</v>
      </c>
      <c r="AX5" s="172">
        <f t="shared" ref="AX5:AX15" si="15">+S5/AX$2*1000</f>
        <v>91467.360918520164</v>
      </c>
      <c r="AY5" s="104">
        <f t="shared" ref="AY5:AY15" si="16">+T5/AY$2*1000</f>
        <v>26263.505954029355</v>
      </c>
      <c r="AZ5" s="172">
        <f t="shared" ref="AZ5:AZ15" si="17">+U5/AZ$2*1000</f>
        <v>55760.394644115571</v>
      </c>
      <c r="BA5" s="104">
        <f t="shared" ref="BA5:BA15" si="18">+V5/BA$2*1000</f>
        <v>82086.439289044618</v>
      </c>
      <c r="BB5" s="172">
        <f t="shared" ref="BB5:BB15" si="19">+W5/BB$2*1000</f>
        <v>123422.53709695414</v>
      </c>
      <c r="BC5" s="104">
        <f t="shared" ref="BC5:BC15" si="20">+X5/BC$2*1000</f>
        <v>52339.591511790699</v>
      </c>
      <c r="BD5" s="172">
        <f t="shared" ref="BD5:BD15" si="21">+Y5/BD$2*1000</f>
        <v>101282.42728024103</v>
      </c>
      <c r="BE5" s="104">
        <f t="shared" ref="BE5:BE15" si="22">+Z5/BE$2*1000</f>
        <v>162992.53669307704</v>
      </c>
      <c r="BF5" s="172">
        <f t="shared" ref="BF5:BF15" si="23">+AA5/BF$2*1000</f>
        <v>263273.96315130452</v>
      </c>
      <c r="BG5" s="104">
        <f t="shared" ref="BG5:BG24" si="24">+AB5/BG$2*1000</f>
        <v>92784.354091610905</v>
      </c>
      <c r="BH5" s="172">
        <f t="shared" ref="BH5:BH24" si="25">+AC5/BH$2*1000</f>
        <v>154495.57935632908</v>
      </c>
      <c r="BI5" s="104">
        <f t="shared" ref="BI5:BI15" si="26">+AD5/BI$2*1000</f>
        <v>201237.08659561654</v>
      </c>
      <c r="BJ5" s="172">
        <f>+AE5/BJ$2*1000</f>
        <v>259076.65139416157</v>
      </c>
      <c r="BK5" s="104">
        <f>+AF5/BK$2*1000</f>
        <v>68723.473041551813</v>
      </c>
      <c r="BL5" s="172">
        <f>+AG5/BL$2*1000</f>
        <v>127718.59832743318</v>
      </c>
    </row>
    <row r="6" spans="1:64" outlineLevel="1" x14ac:dyDescent="0.3">
      <c r="B6" s="90" t="s">
        <v>169</v>
      </c>
      <c r="C6" s="90" t="s">
        <v>142</v>
      </c>
      <c r="D6" s="166">
        <v>-3866.575609</v>
      </c>
      <c r="E6" s="158">
        <v>-6551.1668120000004</v>
      </c>
      <c r="F6" s="166">
        <v>-9664.6009780000004</v>
      </c>
      <c r="G6" s="158">
        <v>-14606.384983</v>
      </c>
      <c r="H6" s="166">
        <v>-4157.878565</v>
      </c>
      <c r="I6" s="158">
        <v>-7213.7795980000001</v>
      </c>
      <c r="J6" s="166">
        <v>-9801</v>
      </c>
      <c r="K6" s="158">
        <v>-14264.354327999999</v>
      </c>
      <c r="L6" s="166">
        <v>-5192.2275600000003</v>
      </c>
      <c r="M6" s="158">
        <v>-8379.8780210000004</v>
      </c>
      <c r="N6" s="105">
        <v>-12710</v>
      </c>
      <c r="O6" s="100">
        <f>+'éves P&amp;L_mérleg'!J74</f>
        <v>-18211.867753999999</v>
      </c>
      <c r="P6" s="166">
        <v>-6602</v>
      </c>
      <c r="Q6" s="158">
        <v>-10936.562</v>
      </c>
      <c r="R6" s="105">
        <v>-16031.668</v>
      </c>
      <c r="S6" s="158">
        <v>-23072.429</v>
      </c>
      <c r="T6" s="105">
        <v>-5935.07</v>
      </c>
      <c r="U6" s="307">
        <v>-10983</v>
      </c>
      <c r="V6" s="105">
        <v>-15670.550999999999</v>
      </c>
      <c r="W6" s="308">
        <v>-25624.444</v>
      </c>
      <c r="X6" s="105">
        <v>-12475.705</v>
      </c>
      <c r="Y6" s="308">
        <v>-22015</v>
      </c>
      <c r="Z6" s="106">
        <v>-39682.125</v>
      </c>
      <c r="AA6" s="308">
        <f>+'éves P&amp;L_mérleg'!M74</f>
        <v>-70448.828999999998</v>
      </c>
      <c r="AB6" s="105">
        <v>-23960.903999999999</v>
      </c>
      <c r="AC6" s="308">
        <v>-37944.813999999998</v>
      </c>
      <c r="AD6" s="105">
        <v>-49255.275999999998</v>
      </c>
      <c r="AE6" s="308">
        <v>-63869.082000000002</v>
      </c>
      <c r="AF6" s="105">
        <v>-18396.736000000001</v>
      </c>
      <c r="AG6" s="100">
        <v>-32015.133000000002</v>
      </c>
      <c r="AI6" s="128">
        <f t="shared" si="0"/>
        <v>-12508.736724790528</v>
      </c>
      <c r="AJ6" s="100">
        <f t="shared" si="1"/>
        <v>-21169.672371227305</v>
      </c>
      <c r="AK6" s="105">
        <f t="shared" si="2"/>
        <v>-31335.843907658385</v>
      </c>
      <c r="AL6" s="173">
        <f t="shared" si="3"/>
        <v>-46896.503509278882</v>
      </c>
      <c r="AM6" s="105">
        <f t="shared" si="4"/>
        <v>-13368.094926534419</v>
      </c>
      <c r="AN6" s="173">
        <f t="shared" si="5"/>
        <v>-22967.968664034644</v>
      </c>
      <c r="AO6" s="105">
        <f t="shared" si="6"/>
        <v>-30865.402783901238</v>
      </c>
      <c r="AP6" s="173">
        <f t="shared" si="7"/>
        <v>-44734.074475491572</v>
      </c>
      <c r="AQ6" s="105">
        <f t="shared" si="8"/>
        <v>-16324.166252711666</v>
      </c>
      <c r="AR6" s="173">
        <f t="shared" si="9"/>
        <v>-26140.555950338465</v>
      </c>
      <c r="AS6" s="105">
        <f t="shared" si="10"/>
        <v>-39330.362668647103</v>
      </c>
      <c r="AT6" s="173">
        <f t="shared" si="11"/>
        <v>-55976.234067926838</v>
      </c>
      <c r="AU6" s="105">
        <f t="shared" si="12"/>
        <v>-19472.054269281816</v>
      </c>
      <c r="AV6" s="173">
        <f t="shared" si="13"/>
        <v>-31686.403013182677</v>
      </c>
      <c r="AW6" s="105">
        <f t="shared" si="14"/>
        <v>-46064.040456282506</v>
      </c>
      <c r="AX6" s="173">
        <f t="shared" si="15"/>
        <v>-63986.990404348551</v>
      </c>
      <c r="AY6" s="105">
        <f t="shared" si="16"/>
        <v>-16436.084187205757</v>
      </c>
      <c r="AZ6" s="173">
        <f t="shared" si="17"/>
        <v>-30959.83086680761</v>
      </c>
      <c r="BA6" s="105">
        <f t="shared" si="18"/>
        <v>-44280.85280736952</v>
      </c>
      <c r="BB6" s="173">
        <f t="shared" si="19"/>
        <v>-71472.843913868128</v>
      </c>
      <c r="BC6" s="105">
        <f t="shared" si="20"/>
        <v>-34248.510720070277</v>
      </c>
      <c r="BD6" s="173">
        <f t="shared" si="21"/>
        <v>-58695.710134108303</v>
      </c>
      <c r="BE6" s="105">
        <f t="shared" si="22"/>
        <v>-103083.84205741005</v>
      </c>
      <c r="BF6" s="173">
        <f t="shared" si="23"/>
        <v>-180024.09475378838</v>
      </c>
      <c r="BG6" s="105">
        <f t="shared" si="24"/>
        <v>-61659.557385486354</v>
      </c>
      <c r="BH6" s="173">
        <f t="shared" si="25"/>
        <v>-99608.374022155709</v>
      </c>
      <c r="BI6" s="105">
        <f t="shared" si="26"/>
        <v>-128977.65325093613</v>
      </c>
      <c r="BJ6" s="173">
        <f>+AE6/BJ$2*1000</f>
        <v>-167218.43696818958</v>
      </c>
      <c r="BK6" s="105">
        <f>+AF6/BK$2*1000</f>
        <v>-47391.061078337923</v>
      </c>
      <c r="BL6" s="173">
        <f>+AG6/BL$2*1000</f>
        <v>-82127.9898414653</v>
      </c>
    </row>
    <row r="7" spans="1:64" outlineLevel="1" x14ac:dyDescent="0.3">
      <c r="B7" s="91" t="s">
        <v>143</v>
      </c>
      <c r="C7" s="91" t="s">
        <v>144</v>
      </c>
      <c r="D7" s="166">
        <v>-570.57811400000003</v>
      </c>
      <c r="E7" s="158">
        <v>-1107.2819280000001</v>
      </c>
      <c r="F7" s="166">
        <v>-1702.3162199999999</v>
      </c>
      <c r="G7" s="158">
        <v>-2153.922556</v>
      </c>
      <c r="H7" s="166">
        <v>-622.849559</v>
      </c>
      <c r="I7" s="158">
        <v>-1245.3993559999999</v>
      </c>
      <c r="J7" s="166">
        <v>-1808.0923909999999</v>
      </c>
      <c r="K7" s="158">
        <v>-2506.5336560000001</v>
      </c>
      <c r="L7" s="166">
        <v>-650.11555499999997</v>
      </c>
      <c r="M7" s="158">
        <v>-1290.5134969999999</v>
      </c>
      <c r="N7" s="106">
        <v>-2122</v>
      </c>
      <c r="O7" s="100">
        <f>+'éves P&amp;L_mérleg'!J75</f>
        <v>-2858.1641120000004</v>
      </c>
      <c r="P7" s="166">
        <v>-767</v>
      </c>
      <c r="Q7" s="158">
        <v>-1557.479</v>
      </c>
      <c r="R7" s="106">
        <v>-2417.9870000000001</v>
      </c>
      <c r="S7" s="158">
        <v>-3770.04</v>
      </c>
      <c r="T7" s="106">
        <v>-890.20799999999997</v>
      </c>
      <c r="U7" s="308">
        <v>-2189</v>
      </c>
      <c r="V7" s="106">
        <v>-2979.3760000000002</v>
      </c>
      <c r="W7" s="308">
        <v>-4192.2370000000001</v>
      </c>
      <c r="X7" s="106">
        <v>-1114.9970000000001</v>
      </c>
      <c r="Y7" s="308">
        <v>-2526</v>
      </c>
      <c r="Z7" s="106">
        <v>-4155.5619999999999</v>
      </c>
      <c r="AA7" s="308">
        <f>+'éves P&amp;L_mérleg'!M75</f>
        <v>-5951.6490000000003</v>
      </c>
      <c r="AB7" s="106">
        <v>-1635.3520000000001</v>
      </c>
      <c r="AC7" s="308">
        <v>-3730.8319999999999</v>
      </c>
      <c r="AD7" s="106">
        <v>-5762.549</v>
      </c>
      <c r="AE7" s="308">
        <v>-7876.31</v>
      </c>
      <c r="AF7" s="106">
        <v>-2219.9299999999998</v>
      </c>
      <c r="AG7" s="101">
        <v>-5095.6610000000001</v>
      </c>
      <c r="AI7" s="129">
        <f t="shared" si="0"/>
        <v>-1845.8740060172754</v>
      </c>
      <c r="AJ7" s="101">
        <f t="shared" si="1"/>
        <v>-3578.1100239126226</v>
      </c>
      <c r="AK7" s="106">
        <f t="shared" si="2"/>
        <v>-5519.4741586148757</v>
      </c>
      <c r="AL7" s="174">
        <f t="shared" si="3"/>
        <v>-6915.5671867976625</v>
      </c>
      <c r="AM7" s="106">
        <f t="shared" si="4"/>
        <v>-2002.5385300453333</v>
      </c>
      <c r="AN7" s="174">
        <f t="shared" si="5"/>
        <v>-3965.2297376464594</v>
      </c>
      <c r="AO7" s="106">
        <f t="shared" si="6"/>
        <v>-5694.061822132644</v>
      </c>
      <c r="AP7" s="174">
        <f t="shared" si="7"/>
        <v>-7860.675686016245</v>
      </c>
      <c r="AQ7" s="106">
        <f t="shared" si="8"/>
        <v>-2043.9386141415409</v>
      </c>
      <c r="AR7" s="174">
        <f t="shared" si="9"/>
        <v>-4025.6839286271324</v>
      </c>
      <c r="AS7" s="106">
        <f t="shared" si="10"/>
        <v>-6566.4067335066211</v>
      </c>
      <c r="AT7" s="174">
        <f t="shared" si="11"/>
        <v>-8784.8904625787618</v>
      </c>
      <c r="AU7" s="106">
        <f t="shared" si="12"/>
        <v>-2262.2032148650637</v>
      </c>
      <c r="AV7" s="174">
        <f t="shared" si="13"/>
        <v>-4512.4699406055342</v>
      </c>
      <c r="AW7" s="106">
        <f t="shared" si="14"/>
        <v>-6947.6395713013253</v>
      </c>
      <c r="AX7" s="174">
        <f t="shared" si="15"/>
        <v>-10455.488379832492</v>
      </c>
      <c r="AY7" s="106">
        <f t="shared" si="16"/>
        <v>-2465.267238991969</v>
      </c>
      <c r="AZ7" s="174">
        <f t="shared" si="17"/>
        <v>-6170.5426356589151</v>
      </c>
      <c r="BA7" s="106">
        <f t="shared" si="18"/>
        <v>-8418.9324366328528</v>
      </c>
      <c r="BB7" s="174">
        <f t="shared" si="19"/>
        <v>-11693.174718286287</v>
      </c>
      <c r="BC7" s="106">
        <f t="shared" si="20"/>
        <v>-3060.9081176050736</v>
      </c>
      <c r="BD7" s="174">
        <f t="shared" si="21"/>
        <v>-6734.742848001707</v>
      </c>
      <c r="BE7" s="106">
        <f t="shared" si="22"/>
        <v>-10795.069489544097</v>
      </c>
      <c r="BF7" s="174">
        <f t="shared" si="23"/>
        <v>-15208.772647126467</v>
      </c>
      <c r="BG7" s="106">
        <f t="shared" si="24"/>
        <v>-4208.3170355120947</v>
      </c>
      <c r="BH7" s="174">
        <f t="shared" si="25"/>
        <v>-9793.7522969496495</v>
      </c>
      <c r="BI7" s="106">
        <f t="shared" si="26"/>
        <v>-15089.551965225588</v>
      </c>
      <c r="BJ7" s="174">
        <f>+AE7/BJ$2*1000</f>
        <v>-20621.311690011782</v>
      </c>
      <c r="BK7" s="106">
        <f>+AF7/BK$2*1000</f>
        <v>-5718.6686931657177</v>
      </c>
      <c r="BL7" s="174">
        <f>+AG7/BL$2*1000</f>
        <v>-13071.830588476732</v>
      </c>
    </row>
    <row r="8" spans="1:64" outlineLevel="1" x14ac:dyDescent="0.3">
      <c r="B8" s="91" t="s">
        <v>145</v>
      </c>
      <c r="C8" s="91" t="s">
        <v>146</v>
      </c>
      <c r="D8" s="166">
        <v>-150.23280800000001</v>
      </c>
      <c r="E8" s="158">
        <v>-284.247075</v>
      </c>
      <c r="F8" s="166">
        <v>-419.81182200000001</v>
      </c>
      <c r="G8" s="158">
        <v>-571.66508499999998</v>
      </c>
      <c r="H8" s="166">
        <v>-159.68045100000001</v>
      </c>
      <c r="I8" s="158">
        <v>-336.25823700000001</v>
      </c>
      <c r="J8" s="166">
        <v>-502.08338300000003</v>
      </c>
      <c r="K8" s="158">
        <v>-729.81811600000003</v>
      </c>
      <c r="L8" s="166">
        <v>-252.92470599999999</v>
      </c>
      <c r="M8" s="158">
        <v>-908.34394999999995</v>
      </c>
      <c r="N8" s="106">
        <v>-1545</v>
      </c>
      <c r="O8" s="100">
        <f>+'éves P&amp;L_mérleg'!J76</f>
        <v>-2045.7517579999999</v>
      </c>
      <c r="P8" s="166">
        <v>-626</v>
      </c>
      <c r="Q8" s="158">
        <v>-1303.088</v>
      </c>
      <c r="R8" s="106">
        <v>-1941.201</v>
      </c>
      <c r="S8" s="158">
        <v>-2858.5230000000001</v>
      </c>
      <c r="T8" s="106">
        <v>-857.68</v>
      </c>
      <c r="U8" s="308">
        <v>-2187</v>
      </c>
      <c r="V8" s="106">
        <v>-3010.2669999999998</v>
      </c>
      <c r="W8" s="308">
        <v>-3936.6689999999999</v>
      </c>
      <c r="X8" s="106">
        <v>-955.995</v>
      </c>
      <c r="Y8" s="308">
        <v>-1955</v>
      </c>
      <c r="Z8" s="106">
        <v>-2737.4319999999998</v>
      </c>
      <c r="AA8" s="308">
        <f>+'éves P&amp;L_mérleg'!M76</f>
        <v>-3527.1619999999998</v>
      </c>
      <c r="AB8" s="106">
        <v>-948.45100000000002</v>
      </c>
      <c r="AC8" s="308">
        <v>-2088.0189999999998</v>
      </c>
      <c r="AD8" s="106">
        <v>-3134.0810000000001</v>
      </c>
      <c r="AE8" s="308">
        <v>-4268.473</v>
      </c>
      <c r="AF8" s="106">
        <v>-1091.663</v>
      </c>
      <c r="AG8" s="101">
        <v>-2222.12</v>
      </c>
      <c r="AI8" s="129">
        <f t="shared" si="0"/>
        <v>-486.01730128433246</v>
      </c>
      <c r="AJ8" s="101">
        <f t="shared" si="1"/>
        <v>-918.52606152653016</v>
      </c>
      <c r="AK8" s="106">
        <f t="shared" si="2"/>
        <v>-1361.1692562090657</v>
      </c>
      <c r="AL8" s="174">
        <f t="shared" si="3"/>
        <v>-1835.4366050215117</v>
      </c>
      <c r="AM8" s="106">
        <f t="shared" si="4"/>
        <v>-513.39244124361005</v>
      </c>
      <c r="AN8" s="174">
        <f t="shared" si="5"/>
        <v>-1070.6133373662763</v>
      </c>
      <c r="AO8" s="106">
        <f t="shared" si="6"/>
        <v>-1581.1657838382566</v>
      </c>
      <c r="AP8" s="174">
        <f t="shared" si="7"/>
        <v>-2288.763809703014</v>
      </c>
      <c r="AQ8" s="106">
        <f t="shared" si="8"/>
        <v>-795.18566982110849</v>
      </c>
      <c r="AR8" s="174">
        <f t="shared" si="9"/>
        <v>-2833.5276226721153</v>
      </c>
      <c r="AS8" s="106">
        <f t="shared" si="10"/>
        <v>-4780.9134793910134</v>
      </c>
      <c r="AT8" s="174">
        <f t="shared" si="11"/>
        <v>-6287.849263869678</v>
      </c>
      <c r="AU8" s="106">
        <f t="shared" si="12"/>
        <v>-1846.3353487686181</v>
      </c>
      <c r="AV8" s="174">
        <f t="shared" si="13"/>
        <v>-3775.4251774590762</v>
      </c>
      <c r="AW8" s="106">
        <f t="shared" si="14"/>
        <v>-5577.6829583656581</v>
      </c>
      <c r="AX8" s="174">
        <f t="shared" si="15"/>
        <v>-7927.5694714071778</v>
      </c>
      <c r="AY8" s="106">
        <f t="shared" si="16"/>
        <v>-2375.1869288285793</v>
      </c>
      <c r="AZ8" s="174">
        <f t="shared" si="17"/>
        <v>-6164.9048625792811</v>
      </c>
      <c r="BA8" s="106">
        <f t="shared" si="18"/>
        <v>-8506.222272457544</v>
      </c>
      <c r="BB8" s="174">
        <f t="shared" si="19"/>
        <v>-10980.333035813901</v>
      </c>
      <c r="BC8" s="106">
        <f t="shared" si="20"/>
        <v>-2624.4132099816075</v>
      </c>
      <c r="BD8" s="174">
        <f t="shared" si="21"/>
        <v>-5212.3603593995786</v>
      </c>
      <c r="BE8" s="106">
        <f t="shared" si="22"/>
        <v>-7111.136511235225</v>
      </c>
      <c r="BF8" s="174">
        <f t="shared" si="23"/>
        <v>-9013.2675746812147</v>
      </c>
      <c r="BG8" s="106">
        <f t="shared" si="24"/>
        <v>-2440.6870818322182</v>
      </c>
      <c r="BH8" s="174">
        <f t="shared" si="25"/>
        <v>-5481.2280149104845</v>
      </c>
      <c r="BI8" s="106">
        <f t="shared" si="26"/>
        <v>-8206.7637277750146</v>
      </c>
      <c r="BJ8" s="174">
        <f>+AE8/BJ$2*1000</f>
        <v>-11175.475847624035</v>
      </c>
      <c r="BK8" s="106">
        <f>+AF8/BK$2*1000</f>
        <v>-2812.1873309461862</v>
      </c>
      <c r="BL8" s="174">
        <f>+AG8/BL$2*1000</f>
        <v>-5700.3745318352057</v>
      </c>
    </row>
    <row r="9" spans="1:64" outlineLevel="1" x14ac:dyDescent="0.3">
      <c r="B9" s="91" t="s">
        <v>107</v>
      </c>
      <c r="C9" s="91" t="s">
        <v>147</v>
      </c>
      <c r="D9" s="166">
        <v>198.49933899999999</v>
      </c>
      <c r="E9" s="158">
        <v>287.04914300000002</v>
      </c>
      <c r="F9" s="166">
        <v>387.114529</v>
      </c>
      <c r="G9" s="158">
        <v>305.97678999999999</v>
      </c>
      <c r="H9" s="166">
        <v>-5.2825069999999998</v>
      </c>
      <c r="I9" s="158">
        <v>118.66872499999999</v>
      </c>
      <c r="J9" s="166">
        <v>-28.553673</v>
      </c>
      <c r="K9" s="158">
        <v>-114.311959</v>
      </c>
      <c r="L9" s="166">
        <v>-198.214327</v>
      </c>
      <c r="M9" s="158">
        <v>-348.20757500000002</v>
      </c>
      <c r="N9" s="106">
        <v>-364</v>
      </c>
      <c r="O9" s="100">
        <f>+'éves P&amp;L_mérleg'!J77</f>
        <v>-804.28131999999994</v>
      </c>
      <c r="P9" s="166">
        <v>-529</v>
      </c>
      <c r="Q9" s="158">
        <v>-532.10900000000004</v>
      </c>
      <c r="R9" s="106">
        <v>-591.39800000000002</v>
      </c>
      <c r="S9" s="158">
        <v>-1228.018</v>
      </c>
      <c r="T9" s="106">
        <v>-415.74299999999999</v>
      </c>
      <c r="U9" s="308">
        <v>-528</v>
      </c>
      <c r="V9" s="106">
        <v>-890.04499999999996</v>
      </c>
      <c r="W9" s="308">
        <v>-1795.605</v>
      </c>
      <c r="X9" s="106">
        <v>-933.78499999999997</v>
      </c>
      <c r="Y9" s="308">
        <v>-1796.4</v>
      </c>
      <c r="Z9" s="106">
        <v>-2813.317</v>
      </c>
      <c r="AA9" s="308">
        <f>+'éves P&amp;L_mérleg'!M77</f>
        <v>-6764.8620000000001</v>
      </c>
      <c r="AB9" s="106">
        <v>-2761.241</v>
      </c>
      <c r="AC9" s="308">
        <v>-4707.607</v>
      </c>
      <c r="AD9" s="106">
        <v>-5974.6589999999997</v>
      </c>
      <c r="AE9" s="308">
        <v>-8315.9290000000001</v>
      </c>
      <c r="AF9" s="106">
        <v>-1731.5260000000001</v>
      </c>
      <c r="AG9" s="101">
        <v>-3275.509</v>
      </c>
      <c r="AI9" s="129">
        <f t="shared" si="0"/>
        <v>642.16408074795368</v>
      </c>
      <c r="AJ9" s="101">
        <f t="shared" si="1"/>
        <v>927.58076326504249</v>
      </c>
      <c r="AK9" s="106">
        <f t="shared" si="2"/>
        <v>1255.1537805589778</v>
      </c>
      <c r="AL9" s="174">
        <f t="shared" si="3"/>
        <v>982.39513902266754</v>
      </c>
      <c r="AM9" s="106">
        <f t="shared" si="4"/>
        <v>-16.983914734913032</v>
      </c>
      <c r="AN9" s="174">
        <f t="shared" si="5"/>
        <v>377.82961347427408</v>
      </c>
      <c r="AO9" s="106">
        <f t="shared" si="6"/>
        <v>-89.921499653586935</v>
      </c>
      <c r="AP9" s="174">
        <f t="shared" si="7"/>
        <v>-358.49079248596604</v>
      </c>
      <c r="AQ9" s="106">
        <f t="shared" si="8"/>
        <v>-623.17831609394159</v>
      </c>
      <c r="AR9" s="174">
        <f t="shared" si="9"/>
        <v>-1086.2138534485448</v>
      </c>
      <c r="AS9" s="106">
        <f t="shared" si="10"/>
        <v>-1126.3770268597598</v>
      </c>
      <c r="AT9" s="174">
        <f t="shared" si="11"/>
        <v>-2472.0495466420775</v>
      </c>
      <c r="AU9" s="106">
        <f t="shared" si="12"/>
        <v>-1560.2418522341836</v>
      </c>
      <c r="AV9" s="174">
        <f t="shared" si="13"/>
        <v>-1541.6746342170075</v>
      </c>
      <c r="AW9" s="106">
        <f t="shared" si="14"/>
        <v>-1699.2730511737495</v>
      </c>
      <c r="AX9" s="174">
        <f t="shared" si="15"/>
        <v>-3405.6741915802322</v>
      </c>
      <c r="AY9" s="106">
        <f t="shared" si="16"/>
        <v>-1151.3237330379395</v>
      </c>
      <c r="AZ9" s="174">
        <f t="shared" si="17"/>
        <v>-1488.3720930232557</v>
      </c>
      <c r="BA9" s="106">
        <f t="shared" si="18"/>
        <v>-2515.0329198338468</v>
      </c>
      <c r="BB9" s="174">
        <f t="shared" si="19"/>
        <v>-5008.381680240991</v>
      </c>
      <c r="BC9" s="106">
        <f t="shared" si="20"/>
        <v>-2563.4419523979468</v>
      </c>
      <c r="BD9" s="174">
        <f t="shared" si="21"/>
        <v>-4789.5059588876738</v>
      </c>
      <c r="BE9" s="106">
        <f t="shared" si="22"/>
        <v>-7308.266008572542</v>
      </c>
      <c r="BF9" s="174">
        <f t="shared" si="23"/>
        <v>-17286.847417780391</v>
      </c>
      <c r="BG9" s="106">
        <f t="shared" si="24"/>
        <v>-7105.6124549665465</v>
      </c>
      <c r="BH9" s="174">
        <f t="shared" si="25"/>
        <v>-12357.870005775188</v>
      </c>
      <c r="BI9" s="106">
        <f t="shared" si="26"/>
        <v>-15644.973683521432</v>
      </c>
      <c r="BJ9" s="174">
        <f>+AE9/BJ$2*1000</f>
        <v>-21772.29742112842</v>
      </c>
      <c r="BK9" s="106">
        <f>+AF9/BK$2*1000</f>
        <v>-4460.5116051418127</v>
      </c>
      <c r="BL9" s="174">
        <f>+AG9/BL$2*1000</f>
        <v>-8402.6191575598987</v>
      </c>
    </row>
    <row r="10" spans="1:64" outlineLevel="1" x14ac:dyDescent="0.3">
      <c r="B10" s="91" t="s">
        <v>148</v>
      </c>
      <c r="C10" s="91" t="s">
        <v>149</v>
      </c>
      <c r="D10" s="166">
        <v>0</v>
      </c>
      <c r="E10" s="158">
        <v>0</v>
      </c>
      <c r="F10" s="166">
        <v>0</v>
      </c>
      <c r="G10" s="158">
        <v>-1.35</v>
      </c>
      <c r="H10" s="166">
        <v>0</v>
      </c>
      <c r="I10" s="158">
        <v>-22.455480999999999</v>
      </c>
      <c r="J10" s="166">
        <v>-28.251795000000001</v>
      </c>
      <c r="K10" s="158">
        <v>-32.522967000000001</v>
      </c>
      <c r="L10" s="166">
        <v>0</v>
      </c>
      <c r="M10" s="158">
        <v>-80.143831000000006</v>
      </c>
      <c r="N10" s="106">
        <v>-82</v>
      </c>
      <c r="O10" s="101">
        <v>0</v>
      </c>
      <c r="P10" s="166">
        <v>-1</v>
      </c>
      <c r="Q10" s="158">
        <v>-0.38100000000000001</v>
      </c>
      <c r="R10" s="106">
        <v>-0.38100000000000001</v>
      </c>
      <c r="S10" s="158">
        <v>0</v>
      </c>
      <c r="T10" s="106">
        <v>0</v>
      </c>
      <c r="U10" s="308"/>
      <c r="V10" s="106">
        <v>0</v>
      </c>
      <c r="W10" s="308">
        <v>0</v>
      </c>
      <c r="X10" s="106">
        <v>0</v>
      </c>
      <c r="Y10" s="308"/>
      <c r="Z10" s="106">
        <v>0</v>
      </c>
      <c r="AA10" s="308">
        <f>+'éves P&amp;L_mérleg'!M78</f>
        <v>0</v>
      </c>
      <c r="AB10" s="106">
        <v>0</v>
      </c>
      <c r="AC10" s="308"/>
      <c r="AD10" s="106">
        <v>0</v>
      </c>
      <c r="AE10" s="308">
        <v>0</v>
      </c>
      <c r="AF10" s="106">
        <v>0</v>
      </c>
      <c r="AG10" s="101"/>
      <c r="AI10" s="129">
        <f t="shared" si="0"/>
        <v>0</v>
      </c>
      <c r="AJ10" s="101">
        <f t="shared" si="1"/>
        <v>0</v>
      </c>
      <c r="AK10" s="106">
        <f t="shared" si="2"/>
        <v>0</v>
      </c>
      <c r="AL10" s="174">
        <f t="shared" si="3"/>
        <v>-4.3344249662878065</v>
      </c>
      <c r="AM10" s="106">
        <f t="shared" si="4"/>
        <v>0</v>
      </c>
      <c r="AN10" s="174">
        <f t="shared" si="5"/>
        <v>-71.496055145185935</v>
      </c>
      <c r="AO10" s="106">
        <f t="shared" si="6"/>
        <v>-88.970822573534051</v>
      </c>
      <c r="AP10" s="174">
        <f t="shared" si="7"/>
        <v>-101.99443974033305</v>
      </c>
      <c r="AQ10" s="106">
        <f t="shared" si="8"/>
        <v>0</v>
      </c>
      <c r="AR10" s="174">
        <f t="shared" si="9"/>
        <v>-250.00415197928695</v>
      </c>
      <c r="AS10" s="106">
        <f t="shared" si="10"/>
        <v>-253.74427528159421</v>
      </c>
      <c r="AT10" s="174">
        <f t="shared" si="11"/>
        <v>0</v>
      </c>
      <c r="AU10" s="106">
        <f t="shared" si="12"/>
        <v>-2.949417490045716</v>
      </c>
      <c r="AV10" s="174">
        <f t="shared" si="13"/>
        <v>-1.1038678835289006</v>
      </c>
      <c r="AW10" s="106">
        <f t="shared" si="14"/>
        <v>-1.0947332126540816</v>
      </c>
      <c r="AX10" s="174">
        <f t="shared" si="15"/>
        <v>0</v>
      </c>
      <c r="AY10" s="106">
        <f t="shared" si="16"/>
        <v>0</v>
      </c>
      <c r="AZ10" s="174">
        <f t="shared" si="17"/>
        <v>0</v>
      </c>
      <c r="BA10" s="106">
        <f t="shared" si="18"/>
        <v>0</v>
      </c>
      <c r="BB10" s="174">
        <f t="shared" si="19"/>
        <v>0</v>
      </c>
      <c r="BC10" s="106">
        <f t="shared" si="20"/>
        <v>0</v>
      </c>
      <c r="BD10" s="174">
        <f t="shared" si="21"/>
        <v>0</v>
      </c>
      <c r="BE10" s="106">
        <f t="shared" si="22"/>
        <v>0</v>
      </c>
      <c r="BF10" s="174">
        <f t="shared" si="23"/>
        <v>0</v>
      </c>
      <c r="BG10" s="106">
        <f t="shared" si="24"/>
        <v>0</v>
      </c>
      <c r="BH10" s="174">
        <f t="shared" si="25"/>
        <v>0</v>
      </c>
      <c r="BI10" s="106">
        <f t="shared" si="26"/>
        <v>0</v>
      </c>
      <c r="BJ10" s="174">
        <f>+AE10/BJ$2*1000</f>
        <v>0</v>
      </c>
      <c r="BK10" s="106">
        <f>+AF10/BK$2*1000</f>
        <v>0</v>
      </c>
      <c r="BL10" s="174">
        <f>+AG10/BL$2*1000</f>
        <v>0</v>
      </c>
    </row>
    <row r="11" spans="1:64" outlineLevel="1" x14ac:dyDescent="0.3">
      <c r="B11" s="91" t="s">
        <v>435</v>
      </c>
      <c r="C11" s="91" t="s">
        <v>415</v>
      </c>
      <c r="D11" s="166"/>
      <c r="E11" s="158"/>
      <c r="F11" s="166"/>
      <c r="G11" s="158"/>
      <c r="H11" s="166"/>
      <c r="I11" s="158"/>
      <c r="J11" s="166"/>
      <c r="K11" s="158"/>
      <c r="L11" s="166"/>
      <c r="M11" s="158"/>
      <c r="N11" s="106"/>
      <c r="O11" s="101"/>
      <c r="P11" s="166"/>
      <c r="Q11" s="158"/>
      <c r="R11" s="106"/>
      <c r="S11" s="158">
        <v>512.226</v>
      </c>
      <c r="T11" s="106">
        <v>59.555999999999997</v>
      </c>
      <c r="U11" s="308">
        <v>133</v>
      </c>
      <c r="V11" s="106">
        <v>188.34700000000001</v>
      </c>
      <c r="W11" s="308">
        <v>242.82599999999999</v>
      </c>
      <c r="X11" s="106">
        <v>75</v>
      </c>
      <c r="Y11" s="308">
        <v>156.5</v>
      </c>
      <c r="Z11" s="106">
        <v>243.572</v>
      </c>
      <c r="AA11" s="308">
        <f>+'éves P&amp;L_mérleg'!M79</f>
        <v>358.91500000000002</v>
      </c>
      <c r="AB11" s="106">
        <v>141</v>
      </c>
      <c r="AC11" s="308">
        <v>296.03500000000003</v>
      </c>
      <c r="AD11" s="106">
        <v>471.47</v>
      </c>
      <c r="AE11" s="308">
        <v>538.56600000000003</v>
      </c>
      <c r="AF11" s="106">
        <v>157.47300000000001</v>
      </c>
      <c r="AG11" s="101">
        <v>362.4</v>
      </c>
      <c r="AI11" s="129">
        <f t="shared" si="0"/>
        <v>0</v>
      </c>
      <c r="AJ11" s="101">
        <f t="shared" si="1"/>
        <v>0</v>
      </c>
      <c r="AK11" s="106">
        <f t="shared" si="2"/>
        <v>0</v>
      </c>
      <c r="AL11" s="174">
        <f t="shared" si="3"/>
        <v>0</v>
      </c>
      <c r="AM11" s="106">
        <f t="shared" si="4"/>
        <v>0</v>
      </c>
      <c r="AN11" s="174">
        <f t="shared" si="5"/>
        <v>0</v>
      </c>
      <c r="AO11" s="106">
        <f t="shared" si="6"/>
        <v>0</v>
      </c>
      <c r="AP11" s="174">
        <f t="shared" si="7"/>
        <v>0</v>
      </c>
      <c r="AQ11" s="106">
        <f t="shared" si="8"/>
        <v>0</v>
      </c>
      <c r="AR11" s="174">
        <f t="shared" si="9"/>
        <v>0</v>
      </c>
      <c r="AS11" s="106">
        <f t="shared" si="10"/>
        <v>0</v>
      </c>
      <c r="AT11" s="174">
        <f t="shared" si="11"/>
        <v>0</v>
      </c>
      <c r="AU11" s="106">
        <f t="shared" si="12"/>
        <v>0</v>
      </c>
      <c r="AV11" s="174">
        <f t="shared" si="13"/>
        <v>0</v>
      </c>
      <c r="AW11" s="106">
        <f t="shared" si="14"/>
        <v>0</v>
      </c>
      <c r="AX11" s="174">
        <f t="shared" si="15"/>
        <v>1420.5613178767542</v>
      </c>
      <c r="AY11" s="106">
        <f t="shared" si="16"/>
        <v>164.92938244253668</v>
      </c>
      <c r="AZ11" s="174">
        <f t="shared" si="17"/>
        <v>374.91190979563072</v>
      </c>
      <c r="BA11" s="106">
        <f t="shared" si="18"/>
        <v>532.21905111757894</v>
      </c>
      <c r="BB11" s="174">
        <f t="shared" si="19"/>
        <v>677.30112685484767</v>
      </c>
      <c r="BC11" s="106">
        <f t="shared" si="20"/>
        <v>205.89123452384223</v>
      </c>
      <c r="BD11" s="174">
        <f t="shared" si="21"/>
        <v>417.2554456501453</v>
      </c>
      <c r="BE11" s="106">
        <f t="shared" si="22"/>
        <v>632.73671905442268</v>
      </c>
      <c r="BF11" s="174">
        <f t="shared" si="23"/>
        <v>917.16709682365274</v>
      </c>
      <c r="BG11" s="106">
        <f t="shared" si="24"/>
        <v>362.84096757591351</v>
      </c>
      <c r="BH11" s="174">
        <f t="shared" si="25"/>
        <v>777.11713130676753</v>
      </c>
      <c r="BI11" s="106">
        <f t="shared" si="26"/>
        <v>1234.5701641834037</v>
      </c>
      <c r="BJ11" s="174">
        <f>+AE11/BJ$2*1000</f>
        <v>1410.0431993716456</v>
      </c>
      <c r="BK11" s="106">
        <f>+AF11/BK$2*1000</f>
        <v>405.65959968056882</v>
      </c>
      <c r="BL11" s="174">
        <f>+AG11/BL$2*1000</f>
        <v>929.6598430044636</v>
      </c>
    </row>
    <row r="12" spans="1:64" outlineLevel="1" x14ac:dyDescent="0.3">
      <c r="B12" s="84" t="s">
        <v>150</v>
      </c>
      <c r="C12" s="84" t="s">
        <v>151</v>
      </c>
      <c r="D12" s="153">
        <v>318.9265029999998</v>
      </c>
      <c r="E12" s="157">
        <v>979.12366700000007</v>
      </c>
      <c r="F12" s="153">
        <v>979.79211299999952</v>
      </c>
      <c r="G12" s="157">
        <v>1361.9384360000001</v>
      </c>
      <c r="H12" s="153">
        <v>245.39685399999991</v>
      </c>
      <c r="I12" s="157">
        <v>577.41953200000034</v>
      </c>
      <c r="J12" s="188">
        <v>636.01875800000005</v>
      </c>
      <c r="K12" s="189">
        <v>1038.225819999999</v>
      </c>
      <c r="L12" s="188">
        <v>200.90770899999987</v>
      </c>
      <c r="M12" s="189">
        <v>1134.3557139999996</v>
      </c>
      <c r="N12" s="189">
        <v>1172</v>
      </c>
      <c r="O12" s="28">
        <f>+'éves P&amp;L_mérleg'!J80</f>
        <v>1653.2853070000006</v>
      </c>
      <c r="P12" s="188">
        <f>SUM(P5:P10)</f>
        <v>533</v>
      </c>
      <c r="Q12" s="189">
        <f>SUM(Q5:Q10)</f>
        <v>1833.9080000000001</v>
      </c>
      <c r="R12" s="188">
        <f>SUM(R5:R10)</f>
        <v>2486.6239999999984</v>
      </c>
      <c r="S12" s="189">
        <v>2564.5169999999994</v>
      </c>
      <c r="T12" s="188">
        <v>1444.6070000000013</v>
      </c>
      <c r="U12" s="309">
        <f>SUM(U5:U11)</f>
        <v>4027</v>
      </c>
      <c r="V12" s="188">
        <v>6687.6780000000017</v>
      </c>
      <c r="W12" s="309">
        <v>8943.3189999999977</v>
      </c>
      <c r="X12" s="188">
        <v>3660.4579999999987</v>
      </c>
      <c r="Y12" s="309">
        <v>9852.1</v>
      </c>
      <c r="Z12" s="188">
        <v>13599.113000000001</v>
      </c>
      <c r="AA12" s="309">
        <f>+'éves P&amp;L_mérleg'!M80</f>
        <v>16693.413</v>
      </c>
      <c r="AB12" s="188">
        <v>6891.8530000000083</v>
      </c>
      <c r="AC12" s="309">
        <v>10678.309000000005</v>
      </c>
      <c r="AD12" s="188">
        <v>13195.336000000001</v>
      </c>
      <c r="AE12" s="309">
        <v>15163.099</v>
      </c>
      <c r="AF12" s="188">
        <v>3395.382999999998</v>
      </c>
      <c r="AG12" s="28">
        <f>SUM(AG5:AG11)</f>
        <v>7541.2410000000018</v>
      </c>
      <c r="AI12" s="107">
        <f t="shared" si="0"/>
        <v>1031.7573129306711</v>
      </c>
      <c r="AJ12" s="28">
        <f t="shared" si="1"/>
        <v>3163.9748820526083</v>
      </c>
      <c r="AK12" s="107">
        <f t="shared" si="2"/>
        <v>3176.8112087413251</v>
      </c>
      <c r="AL12" s="175">
        <f t="shared" si="3"/>
        <v>4372.7555255891612</v>
      </c>
      <c r="AM12" s="107">
        <f t="shared" si="4"/>
        <v>788.98130083914702</v>
      </c>
      <c r="AN12" s="175">
        <f t="shared" si="5"/>
        <v>1838.4473127865524</v>
      </c>
      <c r="AO12" s="107">
        <f t="shared" si="6"/>
        <v>2002.9563456572398</v>
      </c>
      <c r="AP12" s="175">
        <f t="shared" si="7"/>
        <v>3255.9532724934893</v>
      </c>
      <c r="AQ12" s="107">
        <f t="shared" si="8"/>
        <v>631.64620680982136</v>
      </c>
      <c r="AR12" s="175">
        <f t="shared" si="9"/>
        <v>3538.5585488348866</v>
      </c>
      <c r="AS12" s="107">
        <f t="shared" si="10"/>
        <v>3626.686471097908</v>
      </c>
      <c r="AT12" s="175">
        <f t="shared" si="11"/>
        <v>5081.5592654064867</v>
      </c>
      <c r="AU12" s="107">
        <f t="shared" si="12"/>
        <v>1572.0395221943666</v>
      </c>
      <c r="AV12" s="175">
        <f t="shared" si="13"/>
        <v>5313.3652035346959</v>
      </c>
      <c r="AW12" s="107">
        <f t="shared" si="14"/>
        <v>7144.8553285636262</v>
      </c>
      <c r="AX12" s="175">
        <f t="shared" si="15"/>
        <v>7112.1997892284635</v>
      </c>
      <c r="AY12" s="107">
        <f t="shared" si="16"/>
        <v>4000.5732484076466</v>
      </c>
      <c r="AZ12" s="175">
        <f t="shared" si="17"/>
        <v>11351.656095842141</v>
      </c>
      <c r="BA12" s="107">
        <f t="shared" si="18"/>
        <v>18897.617903868439</v>
      </c>
      <c r="BB12" s="175">
        <f t="shared" si="19"/>
        <v>24945.104875599682</v>
      </c>
      <c r="BC12" s="107">
        <f t="shared" si="20"/>
        <v>10048.749553902322</v>
      </c>
      <c r="BD12" s="175">
        <f t="shared" si="21"/>
        <v>26267.36342549391</v>
      </c>
      <c r="BE12" s="107">
        <f t="shared" si="22"/>
        <v>35326.959345369534</v>
      </c>
      <c r="BF12" s="175">
        <f t="shared" si="23"/>
        <v>42658.147854751747</v>
      </c>
      <c r="BG12" s="107">
        <f t="shared" si="24"/>
        <v>17735.08234688628</v>
      </c>
      <c r="BH12" s="175">
        <f t="shared" si="25"/>
        <v>28031.472147844815</v>
      </c>
      <c r="BI12" s="107">
        <f t="shared" si="26"/>
        <v>34552.714132341775</v>
      </c>
      <c r="BJ12" s="175">
        <f>+AE12/BJ$2*1000</f>
        <v>39699.17266657939</v>
      </c>
      <c r="BK12" s="107">
        <f>+AF12/BK$2*1000</f>
        <v>8746.7039336407379</v>
      </c>
      <c r="BL12" s="175">
        <f>+AG12/BL$2*1000</f>
        <v>19345.444051100516</v>
      </c>
    </row>
    <row r="13" spans="1:64" outlineLevel="1" x14ac:dyDescent="0.3">
      <c r="B13" s="91" t="s">
        <v>152</v>
      </c>
      <c r="C13" s="91" t="s">
        <v>153</v>
      </c>
      <c r="D13" s="154">
        <v>-93.023401000000007</v>
      </c>
      <c r="E13" s="161">
        <v>-176.415548</v>
      </c>
      <c r="F13" s="154">
        <v>-245.766569</v>
      </c>
      <c r="G13" s="161">
        <v>-329.10903100000002</v>
      </c>
      <c r="H13" s="154">
        <v>-61.70966</v>
      </c>
      <c r="I13" s="161">
        <v>-25.957788999999998</v>
      </c>
      <c r="J13" s="154">
        <v>-117.27139</v>
      </c>
      <c r="K13" s="161">
        <v>-232.33348899999999</v>
      </c>
      <c r="L13" s="154">
        <v>-147.007822</v>
      </c>
      <c r="M13" s="161">
        <v>-361.33734099999998</v>
      </c>
      <c r="N13" s="106">
        <v>-511</v>
      </c>
      <c r="O13" s="101">
        <f>+'éves P&amp;L_mérleg'!J81</f>
        <v>-943.82029</v>
      </c>
      <c r="P13" s="154">
        <v>9</v>
      </c>
      <c r="Q13" s="161">
        <v>-312</v>
      </c>
      <c r="R13" s="106">
        <v>-563.74800000000005</v>
      </c>
      <c r="S13" s="161">
        <v>-1090.316</v>
      </c>
      <c r="T13" s="106">
        <v>-253.15799999999999</v>
      </c>
      <c r="U13" s="308">
        <v>-565</v>
      </c>
      <c r="V13" s="106">
        <v>-751.06100000000004</v>
      </c>
      <c r="W13" s="308">
        <v>-1871.0509999999999</v>
      </c>
      <c r="X13" s="106">
        <v>-329.77499999999998</v>
      </c>
      <c r="Y13" s="308">
        <v>-356</v>
      </c>
      <c r="Z13" s="106">
        <v>-242.429</v>
      </c>
      <c r="AA13" s="308">
        <f>+'éves P&amp;L_mérleg'!M81</f>
        <v>-936.73099999999999</v>
      </c>
      <c r="AB13" s="106">
        <v>34.491</v>
      </c>
      <c r="AC13" s="308">
        <v>384.31700000000001</v>
      </c>
      <c r="AD13" s="106">
        <v>763.298</v>
      </c>
      <c r="AE13" s="308">
        <v>719.53</v>
      </c>
      <c r="AF13" s="106">
        <v>15.866</v>
      </c>
      <c r="AG13" s="101">
        <v>-147</v>
      </c>
      <c r="AI13" s="129">
        <f t="shared" si="0"/>
        <v>-300.93947462068519</v>
      </c>
      <c r="AJ13" s="101">
        <f t="shared" si="1"/>
        <v>-570.07544755380343</v>
      </c>
      <c r="AK13" s="106">
        <f t="shared" si="2"/>
        <v>-796.85678295830348</v>
      </c>
      <c r="AL13" s="174">
        <f t="shared" si="3"/>
        <v>-1056.6654819238427</v>
      </c>
      <c r="AM13" s="106">
        <f t="shared" si="4"/>
        <v>-198.40420538211751</v>
      </c>
      <c r="AN13" s="174">
        <f t="shared" si="5"/>
        <v>-82.647061258278143</v>
      </c>
      <c r="AO13" s="106">
        <f t="shared" si="6"/>
        <v>-369.31218114253318</v>
      </c>
      <c r="AP13" s="174">
        <f t="shared" si="7"/>
        <v>-728.61507510897854</v>
      </c>
      <c r="AQ13" s="106">
        <f t="shared" si="8"/>
        <v>-462.18700914892952</v>
      </c>
      <c r="AR13" s="174">
        <f t="shared" si="9"/>
        <v>-1127.1714165392893</v>
      </c>
      <c r="AS13" s="106">
        <f t="shared" si="10"/>
        <v>-1581.2600569377398</v>
      </c>
      <c r="AT13" s="174">
        <f t="shared" si="11"/>
        <v>-2900.9383433225753</v>
      </c>
      <c r="AU13" s="106">
        <f t="shared" si="12"/>
        <v>26.544757410411442</v>
      </c>
      <c r="AV13" s="174">
        <f t="shared" si="13"/>
        <v>-903.95480225988706</v>
      </c>
      <c r="AW13" s="106">
        <f t="shared" si="14"/>
        <v>-1619.8258770795624</v>
      </c>
      <c r="AX13" s="174">
        <f t="shared" si="15"/>
        <v>-3023.7839037106883</v>
      </c>
      <c r="AY13" s="106">
        <f t="shared" si="16"/>
        <v>-701.07449459983377</v>
      </c>
      <c r="AZ13" s="174">
        <f t="shared" si="17"/>
        <v>-1592.6708949964764</v>
      </c>
      <c r="BA13" s="106">
        <f t="shared" si="18"/>
        <v>-2122.3007149114133</v>
      </c>
      <c r="BB13" s="174">
        <f t="shared" si="19"/>
        <v>-5218.8190338056456</v>
      </c>
      <c r="BC13" s="106">
        <f t="shared" si="20"/>
        <v>-905.30375820133418</v>
      </c>
      <c r="BD13" s="174">
        <f t="shared" si="21"/>
        <v>-949.15615751726341</v>
      </c>
      <c r="BE13" s="106">
        <f t="shared" si="22"/>
        <v>-629.7675022730225</v>
      </c>
      <c r="BF13" s="174">
        <f t="shared" si="23"/>
        <v>-2393.7111900442087</v>
      </c>
      <c r="BG13" s="106">
        <f t="shared" si="24"/>
        <v>88.757076685537825</v>
      </c>
      <c r="BH13" s="174">
        <f t="shared" si="25"/>
        <v>1008.8649131096761</v>
      </c>
      <c r="BI13" s="106">
        <f t="shared" si="26"/>
        <v>1998.7378564508106</v>
      </c>
      <c r="BJ13" s="174">
        <f>+AE13/BJ$2*1000</f>
        <v>1883.8329624296373</v>
      </c>
      <c r="BK13" s="106">
        <f>+AF13/BK$2*1000</f>
        <v>40.871738066410778</v>
      </c>
      <c r="BL13" s="174">
        <f>+AG13/BL$2*1000</f>
        <v>-377.09712174849932</v>
      </c>
    </row>
    <row r="14" spans="1:64" outlineLevel="1" x14ac:dyDescent="0.3">
      <c r="B14" s="85" t="s">
        <v>119</v>
      </c>
      <c r="C14" s="85" t="s">
        <v>154</v>
      </c>
      <c r="D14" s="153">
        <v>225.90310199999979</v>
      </c>
      <c r="E14" s="157">
        <v>802.70811900000012</v>
      </c>
      <c r="F14" s="153">
        <v>734.02554399999951</v>
      </c>
      <c r="G14" s="157">
        <v>1032.8294050000002</v>
      </c>
      <c r="H14" s="153">
        <v>183.68719399999992</v>
      </c>
      <c r="I14" s="157">
        <v>551.4617430000003</v>
      </c>
      <c r="J14" s="153">
        <v>518.74736800000005</v>
      </c>
      <c r="K14" s="157">
        <v>805.89233099999899</v>
      </c>
      <c r="L14" s="153">
        <v>53.899886999999865</v>
      </c>
      <c r="M14" s="157">
        <v>773.01837299999966</v>
      </c>
      <c r="N14" s="188">
        <v>661</v>
      </c>
      <c r="O14" s="28">
        <f>+'éves P&amp;L_mérleg'!J82</f>
        <v>709.46501700000056</v>
      </c>
      <c r="P14" s="153">
        <f>+P12+P13</f>
        <v>542</v>
      </c>
      <c r="Q14" s="157">
        <f>+Q12+Q13</f>
        <v>1521.9080000000001</v>
      </c>
      <c r="R14" s="188">
        <f>+R12+R13</f>
        <v>1922.8759999999984</v>
      </c>
      <c r="S14" s="157">
        <v>1474.2009999999993</v>
      </c>
      <c r="T14" s="188">
        <v>1191.4490000000014</v>
      </c>
      <c r="U14" s="309">
        <f>+U12+U13</f>
        <v>3462</v>
      </c>
      <c r="V14" s="188">
        <v>5936.617000000002</v>
      </c>
      <c r="W14" s="309">
        <v>7072.2679999999982</v>
      </c>
      <c r="X14" s="188">
        <v>3330.6829999999986</v>
      </c>
      <c r="Y14" s="309">
        <v>9496.1</v>
      </c>
      <c r="Z14" s="188">
        <v>13356.684000000001</v>
      </c>
      <c r="AA14" s="309">
        <f>+'éves P&amp;L_mérleg'!M82</f>
        <v>15756.682000000001</v>
      </c>
      <c r="AB14" s="188">
        <v>6926.3440000000082</v>
      </c>
      <c r="AC14" s="309">
        <v>11062.626000000004</v>
      </c>
      <c r="AD14" s="188">
        <v>13958.634000000002</v>
      </c>
      <c r="AE14" s="309">
        <v>15882.629000000001</v>
      </c>
      <c r="AF14" s="188">
        <v>3411.248999999998</v>
      </c>
      <c r="AG14" s="28">
        <f t="shared" ref="AG14" si="27">+AG12+AG13</f>
        <v>7394.2410000000018</v>
      </c>
      <c r="AI14" s="107">
        <f t="shared" si="0"/>
        <v>730.81783830998609</v>
      </c>
      <c r="AJ14" s="28">
        <f t="shared" si="1"/>
        <v>2593.899434498805</v>
      </c>
      <c r="AK14" s="107">
        <f t="shared" si="2"/>
        <v>2379.9544257830216</v>
      </c>
      <c r="AL14" s="175">
        <f t="shared" si="3"/>
        <v>3316.0900436653187</v>
      </c>
      <c r="AM14" s="107">
        <f t="shared" si="4"/>
        <v>590.5770954570296</v>
      </c>
      <c r="AN14" s="175">
        <f t="shared" si="5"/>
        <v>1755.800251528274</v>
      </c>
      <c r="AO14" s="107">
        <f t="shared" si="6"/>
        <v>1633.6441645147067</v>
      </c>
      <c r="AP14" s="175">
        <f t="shared" si="7"/>
        <v>2527.3381973845107</v>
      </c>
      <c r="AQ14" s="107">
        <f t="shared" si="8"/>
        <v>169.45919766089185</v>
      </c>
      <c r="AR14" s="175">
        <f t="shared" si="9"/>
        <v>2411.3871322955974</v>
      </c>
      <c r="AS14" s="107">
        <f t="shared" si="10"/>
        <v>2045.4264141601684</v>
      </c>
      <c r="AT14" s="175">
        <f t="shared" si="11"/>
        <v>2180.6209220839114</v>
      </c>
      <c r="AU14" s="107">
        <f t="shared" si="12"/>
        <v>1598.584279604778</v>
      </c>
      <c r="AV14" s="175">
        <f t="shared" si="13"/>
        <v>4409.4104012748085</v>
      </c>
      <c r="AW14" s="107">
        <f t="shared" si="14"/>
        <v>5525.0294514840634</v>
      </c>
      <c r="AX14" s="175">
        <f t="shared" si="15"/>
        <v>4088.4158855177752</v>
      </c>
      <c r="AY14" s="107">
        <f t="shared" si="16"/>
        <v>3299.4987538078135</v>
      </c>
      <c r="AZ14" s="175">
        <f t="shared" si="17"/>
        <v>9758.9852008456655</v>
      </c>
      <c r="BA14" s="107">
        <f t="shared" si="18"/>
        <v>16775.317188957026</v>
      </c>
      <c r="BB14" s="175">
        <f t="shared" si="19"/>
        <v>19726.285841794037</v>
      </c>
      <c r="BC14" s="107">
        <f t="shared" si="20"/>
        <v>9143.4457957009872</v>
      </c>
      <c r="BD14" s="175">
        <f t="shared" si="21"/>
        <v>25318.207267976646</v>
      </c>
      <c r="BE14" s="107">
        <f t="shared" si="22"/>
        <v>34697.191843096509</v>
      </c>
      <c r="BF14" s="175">
        <f t="shared" si="23"/>
        <v>40264.436664707537</v>
      </c>
      <c r="BG14" s="107">
        <f t="shared" si="24"/>
        <v>17823.839423571815</v>
      </c>
      <c r="BH14" s="175">
        <f t="shared" si="25"/>
        <v>29040.337060954491</v>
      </c>
      <c r="BI14" s="107">
        <f t="shared" si="26"/>
        <v>36551.451988792593</v>
      </c>
      <c r="BJ14" s="175">
        <f>+AE14/BJ$2*1000</f>
        <v>41583.005629009036</v>
      </c>
      <c r="BK14" s="107">
        <f>+AF14/BK$2*1000</f>
        <v>8787.575671707149</v>
      </c>
      <c r="BL14" s="175">
        <f>+AG14/BL$2*1000</f>
        <v>18968.346929352014</v>
      </c>
    </row>
    <row r="15" spans="1:64" outlineLevel="1" x14ac:dyDescent="0.3">
      <c r="B15" s="91" t="s">
        <v>121</v>
      </c>
      <c r="C15" s="91" t="s">
        <v>155</v>
      </c>
      <c r="D15" s="154">
        <v>-287.95242300000001</v>
      </c>
      <c r="E15" s="161">
        <v>-215.85485499999999</v>
      </c>
      <c r="F15" s="154">
        <v>-211.40517</v>
      </c>
      <c r="G15" s="161">
        <v>-117.87471600000001</v>
      </c>
      <c r="H15" s="154">
        <v>-51.014071000000001</v>
      </c>
      <c r="I15" s="161">
        <v>-200.574298</v>
      </c>
      <c r="J15" s="154">
        <v>-216.30257399999999</v>
      </c>
      <c r="K15" s="161">
        <v>-275.81400000000002</v>
      </c>
      <c r="L15" s="154">
        <v>-77.511156</v>
      </c>
      <c r="M15" s="161">
        <v>-289.70930399999997</v>
      </c>
      <c r="N15" s="154">
        <v>-298</v>
      </c>
      <c r="O15" s="101">
        <f>+'éves P&amp;L_mérleg'!J83</f>
        <v>-435.83447100000001</v>
      </c>
      <c r="P15" s="154">
        <v>-152</v>
      </c>
      <c r="Q15" s="161">
        <v>-458</v>
      </c>
      <c r="R15" s="154">
        <v>-740.84500000000003</v>
      </c>
      <c r="S15" s="161">
        <v>-883.66</v>
      </c>
      <c r="T15" s="156">
        <v>-264.267</v>
      </c>
      <c r="U15" s="329">
        <v>-642</v>
      </c>
      <c r="V15" s="156">
        <v>-1030.0730000000001</v>
      </c>
      <c r="W15" s="329">
        <v>-1214.818</v>
      </c>
      <c r="X15" s="156">
        <v>-530.08600000000001</v>
      </c>
      <c r="Y15" s="329">
        <v>-1425</v>
      </c>
      <c r="Z15" s="156">
        <v>-2146.5619999999999</v>
      </c>
      <c r="AA15" s="329">
        <f>+'éves P&amp;L_mérleg'!M83</f>
        <v>-2913.444</v>
      </c>
      <c r="AB15" s="156">
        <v>-1230.9690000000001</v>
      </c>
      <c r="AC15" s="329">
        <v>-2189.9830000000002</v>
      </c>
      <c r="AD15" s="156">
        <v>-2661.2820000000002</v>
      </c>
      <c r="AE15" s="329">
        <v>-3120.5149999999999</v>
      </c>
      <c r="AF15" s="156">
        <v>-786.55600000000004</v>
      </c>
      <c r="AG15" s="101">
        <v>-1547</v>
      </c>
      <c r="AI15" s="129">
        <f t="shared" si="0"/>
        <v>-931.55324318203884</v>
      </c>
      <c r="AJ15" s="101">
        <f t="shared" si="1"/>
        <v>-697.52102048730046</v>
      </c>
      <c r="AK15" s="106">
        <f t="shared" si="2"/>
        <v>-685.44572336424346</v>
      </c>
      <c r="AL15" s="174">
        <f t="shared" si="3"/>
        <v>-378.45860142554426</v>
      </c>
      <c r="AM15" s="106">
        <f t="shared" si="4"/>
        <v>-164.01656110343055</v>
      </c>
      <c r="AN15" s="174">
        <f t="shared" si="5"/>
        <v>-638.60894676515545</v>
      </c>
      <c r="AO15" s="106">
        <f t="shared" si="6"/>
        <v>-681.18213138502222</v>
      </c>
      <c r="AP15" s="174">
        <f t="shared" si="7"/>
        <v>-864.97318656505797</v>
      </c>
      <c r="AQ15" s="106">
        <f t="shared" si="8"/>
        <v>-243.69213066306159</v>
      </c>
      <c r="AR15" s="174">
        <f t="shared" si="9"/>
        <v>-903.73180272639354</v>
      </c>
      <c r="AS15" s="106">
        <f t="shared" si="10"/>
        <v>-922.14382968189125</v>
      </c>
      <c r="AT15" s="174">
        <f t="shared" si="11"/>
        <v>-1339.5865099124021</v>
      </c>
      <c r="AU15" s="106">
        <f t="shared" si="12"/>
        <v>-448.31145848694882</v>
      </c>
      <c r="AV15" s="174">
        <f t="shared" si="13"/>
        <v>-1326.9592930609881</v>
      </c>
      <c r="AW15" s="106">
        <f t="shared" si="14"/>
        <v>-2128.6814355084334</v>
      </c>
      <c r="AX15" s="174">
        <f t="shared" si="15"/>
        <v>-2450.6628210105941</v>
      </c>
      <c r="AY15" s="106">
        <f t="shared" si="16"/>
        <v>-731.8388258100249</v>
      </c>
      <c r="AZ15" s="174">
        <f t="shared" si="17"/>
        <v>-1809.7251585623678</v>
      </c>
      <c r="BA15" s="106">
        <f t="shared" si="18"/>
        <v>-2910.7151939868327</v>
      </c>
      <c r="BB15" s="174">
        <f t="shared" si="19"/>
        <v>-3388.4246346089481</v>
      </c>
      <c r="BC15" s="106">
        <f t="shared" si="20"/>
        <v>-1455.2008125840723</v>
      </c>
      <c r="BD15" s="174">
        <f t="shared" si="21"/>
        <v>-3799.2907990508438</v>
      </c>
      <c r="BE15" s="106">
        <f t="shared" si="22"/>
        <v>-5576.2098973892707</v>
      </c>
      <c r="BF15" s="174">
        <f t="shared" si="23"/>
        <v>-7444.9799402039198</v>
      </c>
      <c r="BG15" s="106">
        <f t="shared" si="24"/>
        <v>-3167.7020072053524</v>
      </c>
      <c r="BH15" s="174">
        <f t="shared" si="25"/>
        <v>-5748.8922139969554</v>
      </c>
      <c r="BI15" s="106">
        <f t="shared" si="26"/>
        <v>-6968.7135038885554</v>
      </c>
      <c r="BJ15" s="174">
        <f>+AE15/BJ$2*1000</f>
        <v>-8169.9568006283534</v>
      </c>
      <c r="BK15" s="106">
        <f>+AF15/BK$2*1000</f>
        <v>-2026.2139673871045</v>
      </c>
      <c r="BL15" s="174">
        <f>+AG15/BL$2*1000</f>
        <v>-3968.498281258017</v>
      </c>
    </row>
    <row r="16" spans="1:64" outlineLevel="1" x14ac:dyDescent="0.3">
      <c r="B16" s="246" t="s">
        <v>408</v>
      </c>
      <c r="C16" s="247" t="s">
        <v>409</v>
      </c>
      <c r="D16" s="244"/>
      <c r="E16" s="245"/>
      <c r="F16" s="244"/>
      <c r="G16" s="245"/>
      <c r="H16" s="244"/>
      <c r="I16" s="245"/>
      <c r="J16" s="244"/>
      <c r="K16" s="245"/>
      <c r="L16" s="244"/>
      <c r="M16" s="245"/>
      <c r="N16" s="244"/>
      <c r="O16" s="101"/>
      <c r="P16" s="244">
        <v>-129</v>
      </c>
      <c r="Q16" s="245"/>
      <c r="R16" s="244"/>
      <c r="S16" s="245">
        <v>-0.48</v>
      </c>
      <c r="T16" s="154"/>
      <c r="U16" s="310"/>
      <c r="V16" s="154"/>
      <c r="W16" s="310"/>
      <c r="X16" s="154"/>
      <c r="Y16" s="310"/>
      <c r="Z16" s="154"/>
      <c r="AA16" s="310">
        <f>+'éves P&amp;L_mérleg'!M84</f>
        <v>-1208.98</v>
      </c>
      <c r="AB16" s="154"/>
      <c r="AC16" s="310"/>
      <c r="AD16" s="154"/>
      <c r="AE16" s="310"/>
      <c r="AF16" s="154"/>
      <c r="AG16" s="101"/>
      <c r="AI16" s="129"/>
      <c r="AJ16" s="101"/>
      <c r="AK16" s="106"/>
      <c r="AL16" s="174"/>
      <c r="AM16" s="106"/>
      <c r="AN16" s="174"/>
      <c r="AO16" s="106"/>
      <c r="AP16" s="174"/>
      <c r="AQ16" s="106"/>
      <c r="AR16" s="174"/>
      <c r="AS16" s="106"/>
      <c r="AT16" s="174"/>
      <c r="AU16" s="106">
        <f t="shared" ref="AU16:AU24" si="28">+P16/AU$2*1000</f>
        <v>-380.47485621589732</v>
      </c>
      <c r="AV16" s="174"/>
      <c r="AW16" s="106">
        <f t="shared" ref="AW16:AW24" si="29">+R16/AW$2*1000</f>
        <v>0</v>
      </c>
      <c r="AX16" s="174">
        <f t="shared" ref="AX16:AX24" si="30">+S16/AX$2*1000</f>
        <v>-1.3311886405236009</v>
      </c>
      <c r="AY16" s="106">
        <f t="shared" ref="AY16:AY24" si="31">+T16/AY$2*1000</f>
        <v>0</v>
      </c>
      <c r="AZ16" s="174">
        <f t="shared" ref="AZ16:AZ24" si="32">+U16/AZ$2*1000</f>
        <v>0</v>
      </c>
      <c r="BA16" s="106">
        <f t="shared" ref="BA16:BA24" si="33">+V16/BA$2*1000</f>
        <v>0</v>
      </c>
      <c r="BB16" s="174">
        <f t="shared" ref="BB16:BB24" si="34">+W16/BB$2*1000</f>
        <v>0</v>
      </c>
      <c r="BC16" s="106">
        <f t="shared" ref="BC16:BC24" si="35">+X16/BC$2*1000</f>
        <v>0</v>
      </c>
      <c r="BD16" s="174">
        <f t="shared" ref="BD16:BD24" si="36">+Y16/BD$2*1000</f>
        <v>0</v>
      </c>
      <c r="BE16" s="106">
        <f t="shared" ref="BE16:BE24" si="37">+Z16/BE$2*1000</f>
        <v>0</v>
      </c>
      <c r="BF16" s="174">
        <f t="shared" ref="BF16:BF24" si="38">+AA16/BF$2*1000</f>
        <v>-3089.4130273682058</v>
      </c>
      <c r="BG16" s="106">
        <f t="shared" si="24"/>
        <v>0</v>
      </c>
      <c r="BH16" s="174">
        <f t="shared" si="25"/>
        <v>0</v>
      </c>
      <c r="BI16" s="106">
        <f t="shared" ref="BI16:BI24" si="39">+AD16/BI$2*1000</f>
        <v>0</v>
      </c>
      <c r="BJ16" s="174">
        <f>+AE16/BJ$2*1000</f>
        <v>0</v>
      </c>
      <c r="BK16" s="106">
        <f>+AF16/BK$2*1000</f>
        <v>0</v>
      </c>
      <c r="BL16" s="174">
        <f>+AG16/BL$2*1000</f>
        <v>0</v>
      </c>
    </row>
    <row r="17" spans="2:64" ht="28.8" outlineLevel="1" x14ac:dyDescent="0.3">
      <c r="B17" s="85" t="s">
        <v>123</v>
      </c>
      <c r="C17" s="85" t="s">
        <v>156</v>
      </c>
      <c r="D17" s="155">
        <v>-62.049321000000219</v>
      </c>
      <c r="E17" s="162">
        <v>586.85326400000008</v>
      </c>
      <c r="F17" s="155">
        <v>522.62037399999952</v>
      </c>
      <c r="G17" s="162">
        <v>914.95468900000014</v>
      </c>
      <c r="H17" s="155">
        <v>132.67312299999992</v>
      </c>
      <c r="I17" s="162">
        <v>350.8874450000003</v>
      </c>
      <c r="J17" s="155">
        <v>303</v>
      </c>
      <c r="K17" s="162">
        <v>530.07833099999903</v>
      </c>
      <c r="L17" s="188">
        <v>-23.611269000000135</v>
      </c>
      <c r="M17" s="189">
        <v>483.30906899999968</v>
      </c>
      <c r="N17" s="188">
        <v>363</v>
      </c>
      <c r="O17" s="28">
        <f>+O14+O15</f>
        <v>273.63054600000055</v>
      </c>
      <c r="P17" s="188">
        <f>+P14+P15</f>
        <v>390</v>
      </c>
      <c r="Q17" s="189">
        <f>+Q14+Q15</f>
        <v>1063.9080000000001</v>
      </c>
      <c r="R17" s="188">
        <f>+R14+R15</f>
        <v>1182.0309999999984</v>
      </c>
      <c r="S17" s="189">
        <v>590.54099999999937</v>
      </c>
      <c r="T17" s="107">
        <v>927.18200000000138</v>
      </c>
      <c r="U17" s="309">
        <f>+U14+U15</f>
        <v>2820</v>
      </c>
      <c r="V17" s="107">
        <v>4907</v>
      </c>
      <c r="W17" s="309">
        <v>5857.45</v>
      </c>
      <c r="X17" s="107">
        <v>2800.5969999999988</v>
      </c>
      <c r="Y17" s="309">
        <v>8071.1</v>
      </c>
      <c r="Z17" s="107">
        <v>11210.122000000001</v>
      </c>
      <c r="AA17" s="309">
        <f>+'éves P&amp;L_mérleg'!M85</f>
        <v>12843.238000000001</v>
      </c>
      <c r="AB17" s="107">
        <v>5695</v>
      </c>
      <c r="AC17" s="309">
        <v>8872.6430000000037</v>
      </c>
      <c r="AD17" s="107">
        <v>11297.352000000003</v>
      </c>
      <c r="AE17" s="309">
        <v>12762.114000000001</v>
      </c>
      <c r="AF17" s="107">
        <v>2624.6929999999979</v>
      </c>
      <c r="AG17" s="28">
        <f t="shared" ref="AG17" si="40">+AG14+AG15</f>
        <v>5847.2410000000018</v>
      </c>
      <c r="AI17" s="107">
        <f>+D17/AI$2*1000</f>
        <v>-200.73540487205273</v>
      </c>
      <c r="AJ17" s="28">
        <f>+E17/AJ$2*1000</f>
        <v>1896.3784140115042</v>
      </c>
      <c r="AK17" s="107">
        <f>+F17/AK$2*1000</f>
        <v>1694.5087024187778</v>
      </c>
      <c r="AL17" s="175">
        <f>+G17/AL$2*1000</f>
        <v>2937.6314422397745</v>
      </c>
      <c r="AM17" s="107">
        <f>+H17/AM$2*1000</f>
        <v>426.56053435359911</v>
      </c>
      <c r="AN17" s="175">
        <f>+I17/AN$2*1000</f>
        <v>1117.1913047631188</v>
      </c>
      <c r="AO17" s="107">
        <f>+J17/AO$2*1000</f>
        <v>954.2104931662152</v>
      </c>
      <c r="AP17" s="175">
        <f>+K17/AP$2*1000</f>
        <v>1662.3650108194531</v>
      </c>
      <c r="AQ17" s="107">
        <f>+L17/AQ$2*1000</f>
        <v>-74.232933002169759</v>
      </c>
      <c r="AR17" s="175">
        <f>+M17/AR$2*1000</f>
        <v>1507.6553295692038</v>
      </c>
      <c r="AS17" s="107">
        <f>+N17/AS$2*1000</f>
        <v>1123.2825844782769</v>
      </c>
      <c r="AT17" s="175">
        <f>+O17/AT$2*1000</f>
        <v>841.03441217150919</v>
      </c>
      <c r="AU17" s="107">
        <f t="shared" si="28"/>
        <v>1150.2728211178292</v>
      </c>
      <c r="AV17" s="175">
        <f t="shared" ref="AV17:AV24" si="41">+Q17/AV$2*1000</f>
        <v>3082.451108213821</v>
      </c>
      <c r="AW17" s="107">
        <f t="shared" si="29"/>
        <v>3396.34801597563</v>
      </c>
      <c r="AX17" s="175">
        <f t="shared" si="30"/>
        <v>1637.7530645071811</v>
      </c>
      <c r="AY17" s="107">
        <f t="shared" si="31"/>
        <v>2567.6599279977881</v>
      </c>
      <c r="AZ17" s="175">
        <f t="shared" si="32"/>
        <v>7949.2600422832984</v>
      </c>
      <c r="BA17" s="107">
        <f t="shared" si="33"/>
        <v>13865.890530955949</v>
      </c>
      <c r="BB17" s="175">
        <f t="shared" si="34"/>
        <v>16337.861207185097</v>
      </c>
      <c r="BC17" s="107">
        <f t="shared" si="35"/>
        <v>7688.244983116916</v>
      </c>
      <c r="BD17" s="175">
        <f t="shared" si="36"/>
        <v>21518.916468925803</v>
      </c>
      <c r="BE17" s="107">
        <f t="shared" si="37"/>
        <v>29120.981945707241</v>
      </c>
      <c r="BF17" s="175">
        <f t="shared" si="38"/>
        <v>32819.456724503616</v>
      </c>
      <c r="BG17" s="107">
        <f t="shared" si="24"/>
        <v>14655.172413793103</v>
      </c>
      <c r="BH17" s="175">
        <f t="shared" si="25"/>
        <v>23291.444846957536</v>
      </c>
      <c r="BI17" s="107">
        <f t="shared" si="39"/>
        <v>29582.738484904039</v>
      </c>
      <c r="BJ17" s="175">
        <f>+AE17/BJ$2*1000</f>
        <v>33413.048828380684</v>
      </c>
      <c r="BK17" s="107">
        <f>+AF17/BK$2*1000</f>
        <v>6761.3617043200438</v>
      </c>
      <c r="BL17" s="175">
        <f>+AG17/BL$2*1000</f>
        <v>14999.848648093996</v>
      </c>
    </row>
    <row r="18" spans="2:64" outlineLevel="1" x14ac:dyDescent="0.3">
      <c r="B18" s="92" t="s">
        <v>125</v>
      </c>
      <c r="C18" s="91" t="s">
        <v>157</v>
      </c>
      <c r="D18" s="156">
        <v>-61.606999000000002</v>
      </c>
      <c r="E18" s="163">
        <v>588.32684300000005</v>
      </c>
      <c r="F18" s="156">
        <v>524.43603960000007</v>
      </c>
      <c r="G18" s="163">
        <v>912.52596700000004</v>
      </c>
      <c r="H18" s="156">
        <v>132.9661706</v>
      </c>
      <c r="I18" s="163">
        <v>351.81632500000001</v>
      </c>
      <c r="J18" s="156">
        <v>304</v>
      </c>
      <c r="K18" s="163">
        <v>511.26202000000001</v>
      </c>
      <c r="L18" s="156">
        <v>-23.343465999999999</v>
      </c>
      <c r="M18" s="163">
        <v>483.57687199999998</v>
      </c>
      <c r="N18" s="156">
        <v>365</v>
      </c>
      <c r="O18" s="101">
        <f>+'éves P&amp;L_mérleg'!J86</f>
        <v>270.71654599999812</v>
      </c>
      <c r="P18" s="156">
        <v>389</v>
      </c>
      <c r="Q18" s="163">
        <v>1062</v>
      </c>
      <c r="R18" s="156">
        <v>1175.8689999999999</v>
      </c>
      <c r="S18" s="163">
        <v>586.66300000000001</v>
      </c>
      <c r="T18" s="156">
        <v>924.30600000000004</v>
      </c>
      <c r="U18" s="308">
        <v>2818</v>
      </c>
      <c r="V18" s="156">
        <v>4904</v>
      </c>
      <c r="W18" s="308">
        <v>5855.1840000000002</v>
      </c>
      <c r="X18" s="156">
        <v>2798.9360000000001</v>
      </c>
      <c r="Y18" s="308">
        <v>8067</v>
      </c>
      <c r="Z18" s="156">
        <v>11204.511</v>
      </c>
      <c r="AA18" s="308">
        <f>+'éves P&amp;L_mérleg'!M86</f>
        <v>12887.893</v>
      </c>
      <c r="AB18" s="156">
        <v>5744.14</v>
      </c>
      <c r="AC18" s="308">
        <v>8960.8950000000004</v>
      </c>
      <c r="AD18" s="156">
        <v>11366.638999999999</v>
      </c>
      <c r="AE18" s="308">
        <v>12803.477999999999</v>
      </c>
      <c r="AF18" s="156">
        <v>2549.259</v>
      </c>
      <c r="AG18" s="101">
        <v>5683</v>
      </c>
      <c r="AI18" s="129">
        <f>+D18/AI$2*1000</f>
        <v>-199.30445148976091</v>
      </c>
      <c r="AJ18" s="101">
        <f>+E18/AJ$2*1000</f>
        <v>1901.1401893621148</v>
      </c>
      <c r="AK18" s="106">
        <f>+F18/AK$2*1000</f>
        <v>1700.395692886324</v>
      </c>
      <c r="AL18" s="174">
        <f>+G18/AL$2*1000</f>
        <v>2929.833580556091</v>
      </c>
      <c r="AM18" s="106">
        <f>+H18/AM$2*1000</f>
        <v>427.50271870880624</v>
      </c>
      <c r="AN18" s="174">
        <f>+I18/AN$2*1000</f>
        <v>1120.1487678298522</v>
      </c>
      <c r="AO18" s="106">
        <f>+J18/AO$2*1000</f>
        <v>957.35970271461861</v>
      </c>
      <c r="AP18" s="174">
        <f>+K18/AP$2*1000</f>
        <v>1603.3556621820803</v>
      </c>
      <c r="AQ18" s="106">
        <f>+L18/AQ$2*1000</f>
        <v>-73.390970541075859</v>
      </c>
      <c r="AR18" s="174">
        <f>+M18/AR$2*1000</f>
        <v>1508.4907258945004</v>
      </c>
      <c r="AS18" s="106">
        <f>+N18/AS$2*1000</f>
        <v>1129.4714692412426</v>
      </c>
      <c r="AT18" s="174">
        <f>+O18/AT$2*1000</f>
        <v>832.07790379590631</v>
      </c>
      <c r="AU18" s="106">
        <f t="shared" si="28"/>
        <v>1147.3234036277836</v>
      </c>
      <c r="AV18" s="174">
        <f t="shared" si="41"/>
        <v>3076.9230769230771</v>
      </c>
      <c r="AW18" s="106">
        <f t="shared" si="29"/>
        <v>3378.6426457489297</v>
      </c>
      <c r="AX18" s="174">
        <f t="shared" si="30"/>
        <v>1626.9981696156192</v>
      </c>
      <c r="AY18" s="106">
        <f t="shared" si="31"/>
        <v>2559.6953752423151</v>
      </c>
      <c r="AZ18" s="174">
        <f t="shared" si="32"/>
        <v>7943.6222692036645</v>
      </c>
      <c r="BA18" s="106">
        <f t="shared" si="33"/>
        <v>13857.413320523327</v>
      </c>
      <c r="BB18" s="174">
        <f t="shared" si="34"/>
        <v>16331.540778757113</v>
      </c>
      <c r="BC18" s="106">
        <f t="shared" si="35"/>
        <v>7683.6851785763311</v>
      </c>
      <c r="BD18" s="174">
        <f t="shared" si="36"/>
        <v>21507.985176100461</v>
      </c>
      <c r="BE18" s="106">
        <f t="shared" si="37"/>
        <v>29106.406026756722</v>
      </c>
      <c r="BF18" s="174">
        <f t="shared" si="38"/>
        <v>32933.567577236601</v>
      </c>
      <c r="BG18" s="106">
        <f t="shared" si="24"/>
        <v>14781.626351003602</v>
      </c>
      <c r="BH18" s="174">
        <f t="shared" si="25"/>
        <v>23523.113876200976</v>
      </c>
      <c r="BI18" s="106">
        <f t="shared" si="39"/>
        <v>29764.170310822486</v>
      </c>
      <c r="BJ18" s="174">
        <f>+AE18/BJ$2*1000</f>
        <v>33521.345725880354</v>
      </c>
      <c r="BK18" s="106">
        <f>+AF18/BK$2*1000</f>
        <v>6567.0393364074289</v>
      </c>
      <c r="BL18" s="174">
        <f>+AG18/BL$2*1000</f>
        <v>14578.523421066133</v>
      </c>
    </row>
    <row r="19" spans="2:64" ht="28.8" outlineLevel="1" x14ac:dyDescent="0.3">
      <c r="B19" s="93" t="s">
        <v>158</v>
      </c>
      <c r="C19" s="93" t="s">
        <v>159</v>
      </c>
      <c r="D19" s="154">
        <v>-0.44232200000021749</v>
      </c>
      <c r="E19" s="161">
        <v>-1.4735789999999724</v>
      </c>
      <c r="F19" s="154">
        <v>-1.8156656000005569</v>
      </c>
      <c r="G19" s="161">
        <v>2.4287220000001071</v>
      </c>
      <c r="H19" s="154">
        <v>-0.29304760000007946</v>
      </c>
      <c r="I19" s="161">
        <v>-0.92887999999970816</v>
      </c>
      <c r="J19" s="154">
        <v>-0.71469199999887678</v>
      </c>
      <c r="K19" s="161">
        <v>18.816310999999018</v>
      </c>
      <c r="L19" s="154">
        <v>-0.26780300000013568</v>
      </c>
      <c r="M19" s="161">
        <v>-0.26780300000029911</v>
      </c>
      <c r="N19" s="154">
        <v>-2</v>
      </c>
      <c r="O19" s="102">
        <f>+'éves P&amp;L_mérleg'!J87</f>
        <v>2.9140000000000001</v>
      </c>
      <c r="P19" s="154">
        <v>2</v>
      </c>
      <c r="Q19" s="161">
        <v>2</v>
      </c>
      <c r="R19" s="154">
        <v>6.1619999999999999</v>
      </c>
      <c r="S19" s="161">
        <v>3.8780000000000001</v>
      </c>
      <c r="T19" s="154">
        <v>2.8759999999999999</v>
      </c>
      <c r="U19" s="310">
        <v>2</v>
      </c>
      <c r="V19" s="154">
        <v>2</v>
      </c>
      <c r="W19" s="310">
        <v>2.266</v>
      </c>
      <c r="X19" s="154">
        <v>1.661</v>
      </c>
      <c r="Y19" s="310">
        <v>4</v>
      </c>
      <c r="Z19" s="154">
        <v>5.6109999999999998</v>
      </c>
      <c r="AA19" s="310">
        <f>+'éves P&amp;L_mérleg'!M87</f>
        <v>-44.601999999999997</v>
      </c>
      <c r="AB19" s="154">
        <v>-48.765000000000001</v>
      </c>
      <c r="AC19" s="310">
        <v>-88.251999999999995</v>
      </c>
      <c r="AD19" s="154">
        <v>-69.287000000000006</v>
      </c>
      <c r="AE19" s="310">
        <v>-41.363999999999997</v>
      </c>
      <c r="AF19" s="154">
        <v>75.433999999999997</v>
      </c>
      <c r="AG19" s="102">
        <v>164</v>
      </c>
      <c r="AI19" s="130">
        <f>+D19/AI$2*1000</f>
        <v>-1.4309533822917975</v>
      </c>
      <c r="AJ19" s="102">
        <f>+E19/AJ$2*1000</f>
        <v>-4.7617753506106526</v>
      </c>
      <c r="AK19" s="108">
        <f>+F19/AK$2*1000</f>
        <v>-5.8869904675460631</v>
      </c>
      <c r="AL19" s="176">
        <f>+G19/AL$2*1000</f>
        <v>7.7978616836836423</v>
      </c>
      <c r="AM19" s="108">
        <f>+H19/AM$2*1000</f>
        <v>-0.94218435520714872</v>
      </c>
      <c r="AN19" s="176">
        <f>+I19/AN$2*1000</f>
        <v>-2.9574630667336606</v>
      </c>
      <c r="AO19" s="108">
        <f>+J19/AO$2*1000</f>
        <v>-2.2507148705639506</v>
      </c>
      <c r="AP19" s="176">
        <f>+K19/AP$2*1000</f>
        <v>59.009348637372653</v>
      </c>
      <c r="AQ19" s="108">
        <f>+L19/AQ$2*1000</f>
        <v>-0.84196246109389661</v>
      </c>
      <c r="AR19" s="176">
        <f>+M19/AR$2*1000</f>
        <v>-0.83539632529650032</v>
      </c>
      <c r="AS19" s="108">
        <f>+N19/AS$2*1000</f>
        <v>-6.1888847629657127</v>
      </c>
      <c r="AT19" s="176">
        <f>+O19/AT$2*1000</f>
        <v>8.9565083755955133</v>
      </c>
      <c r="AU19" s="108">
        <f t="shared" si="28"/>
        <v>5.8988349800914319</v>
      </c>
      <c r="AV19" s="176">
        <f t="shared" si="41"/>
        <v>5.7945820657685063</v>
      </c>
      <c r="AW19" s="108">
        <f t="shared" si="29"/>
        <v>17.705370226704595</v>
      </c>
      <c r="AX19" s="176">
        <f t="shared" si="30"/>
        <v>10.754894891563593</v>
      </c>
      <c r="AY19" s="108">
        <f t="shared" si="31"/>
        <v>7.9645527554693984</v>
      </c>
      <c r="AZ19" s="176">
        <f t="shared" si="32"/>
        <v>5.6377730796335452</v>
      </c>
      <c r="BA19" s="108">
        <f t="shared" si="33"/>
        <v>5.6514736217468711</v>
      </c>
      <c r="BB19" s="176">
        <f t="shared" si="34"/>
        <v>6.3204284279817022</v>
      </c>
      <c r="BC19" s="108">
        <f t="shared" si="35"/>
        <v>4.5598045405880256</v>
      </c>
      <c r="BD19" s="176">
        <f t="shared" si="36"/>
        <v>10.664675927160264</v>
      </c>
      <c r="BE19" s="108">
        <f t="shared" si="37"/>
        <v>14.575918950513055</v>
      </c>
      <c r="BF19" s="176">
        <f t="shared" si="38"/>
        <v>-113.97541716709682</v>
      </c>
      <c r="BG19" s="108">
        <f t="shared" si="24"/>
        <v>-125.48893463715902</v>
      </c>
      <c r="BH19" s="176">
        <f t="shared" si="25"/>
        <v>-231.66902924345041</v>
      </c>
      <c r="BI19" s="108">
        <f t="shared" si="39"/>
        <v>-181.43182591845823</v>
      </c>
      <c r="BJ19" s="176">
        <f>+AE19/BJ$2*1000</f>
        <v>-108.29689749967272</v>
      </c>
      <c r="BK19" s="108">
        <f>+AF19/BK$2*1000</f>
        <v>194.32236791262011</v>
      </c>
      <c r="BL19" s="176">
        <f>+AG19/BL$2*1000</f>
        <v>420.70699297111486</v>
      </c>
    </row>
    <row r="20" spans="2:64" ht="15" outlineLevel="1" thickBot="1" x14ac:dyDescent="0.35">
      <c r="B20" s="91" t="s">
        <v>160</v>
      </c>
      <c r="C20" s="91" t="s">
        <v>161</v>
      </c>
      <c r="D20" s="154">
        <v>-360.79593499999999</v>
      </c>
      <c r="E20" s="161">
        <v>-591.428675</v>
      </c>
      <c r="F20" s="154">
        <v>-428.63687599999997</v>
      </c>
      <c r="G20" s="161">
        <v>-479.54411900000002</v>
      </c>
      <c r="H20" s="154">
        <v>-86.041819000000004</v>
      </c>
      <c r="I20" s="161">
        <v>322.11162000000002</v>
      </c>
      <c r="J20" s="154">
        <v>322.11162000000002</v>
      </c>
      <c r="K20" s="161">
        <v>-259.631775</v>
      </c>
      <c r="L20" s="154">
        <v>-1061.3122229999999</v>
      </c>
      <c r="M20" s="161">
        <v>-1061.3122229999999</v>
      </c>
      <c r="N20" s="154">
        <v>-1043</v>
      </c>
      <c r="O20" s="101">
        <f>+'éves P&amp;L_mérleg'!J88</f>
        <v>-1415.65</v>
      </c>
      <c r="P20" s="154">
        <v>160</v>
      </c>
      <c r="Q20" s="161">
        <v>772.60900000000004</v>
      </c>
      <c r="R20" s="154">
        <v>1766.3579999999999</v>
      </c>
      <c r="S20" s="161">
        <v>2114.2919999999999</v>
      </c>
      <c r="T20" s="154">
        <v>447.88900000000001</v>
      </c>
      <c r="U20" s="308">
        <v>3043</v>
      </c>
      <c r="V20" s="154">
        <v>10839</v>
      </c>
      <c r="W20" s="308">
        <v>4906.63</v>
      </c>
      <c r="X20" s="154">
        <v>3457.777</v>
      </c>
      <c r="Y20" s="308">
        <v>4334</v>
      </c>
      <c r="Z20" s="154">
        <v>7333</v>
      </c>
      <c r="AA20" s="308">
        <f>+'éves P&amp;L_mérleg'!M88</f>
        <v>-3237.1860000000001</v>
      </c>
      <c r="AB20" s="154">
        <v>-1527.3630000000001</v>
      </c>
      <c r="AC20" s="308">
        <v>-1845.375</v>
      </c>
      <c r="AD20" s="154">
        <v>-2176.2130000000002</v>
      </c>
      <c r="AE20" s="308">
        <v>-4458.2690000000002</v>
      </c>
      <c r="AF20" s="154">
        <v>1256.796</v>
      </c>
      <c r="AG20" s="101">
        <v>1948</v>
      </c>
      <c r="AI20" s="129">
        <f>+D20/AI$2*1000</f>
        <v>-1167.208873863673</v>
      </c>
      <c r="AJ20" s="101">
        <f>+E20/AJ$2*1000</f>
        <v>-1911.1635591029537</v>
      </c>
      <c r="AK20" s="106">
        <f>+F20/AK$2*1000</f>
        <v>-1389.7830101809218</v>
      </c>
      <c r="AL20" s="174">
        <f>+G20/AL$2*1000</f>
        <v>-1539.665186540808</v>
      </c>
      <c r="AM20" s="106">
        <f>+H20/AM$2*1000</f>
        <v>-276.63511236858187</v>
      </c>
      <c r="AN20" s="174">
        <f>+I20/AN$2*1000</f>
        <v>1025.571892511462</v>
      </c>
      <c r="AO20" s="106">
        <f>+J20/AO$2*1000</f>
        <v>1014.3969893556717</v>
      </c>
      <c r="AP20" s="174">
        <f>+K20/AP$2*1000</f>
        <v>-814.22452723680499</v>
      </c>
      <c r="AQ20" s="106">
        <f>+L20/AQ$2*1000</f>
        <v>-3336.7253214701163</v>
      </c>
      <c r="AR20" s="174">
        <f>+M20/AR$2*1000</f>
        <v>-3310.7035062544837</v>
      </c>
      <c r="AS20" s="106">
        <f>+N20/AS$2*1000</f>
        <v>-3227.5034038866193</v>
      </c>
      <c r="AT20" s="174">
        <f>+O20/AT$2*1000</f>
        <v>-4351.1602889196256</v>
      </c>
      <c r="AU20" s="106">
        <f t="shared" si="28"/>
        <v>471.90679840731451</v>
      </c>
      <c r="AV20" s="174">
        <f t="shared" si="41"/>
        <v>2238.4731276256703</v>
      </c>
      <c r="AW20" s="106">
        <f t="shared" si="29"/>
        <v>5075.303853116111</v>
      </c>
      <c r="AX20" s="174">
        <f t="shared" si="30"/>
        <v>5863.5864440623436</v>
      </c>
      <c r="AY20" s="106">
        <f t="shared" si="31"/>
        <v>1240.346164497369</v>
      </c>
      <c r="AZ20" s="174">
        <f t="shared" si="32"/>
        <v>8577.8717406624382</v>
      </c>
      <c r="BA20" s="106">
        <f t="shared" si="33"/>
        <v>30628.161293057165</v>
      </c>
      <c r="BB20" s="174">
        <f t="shared" si="34"/>
        <v>13685.791587638068</v>
      </c>
      <c r="BC20" s="106">
        <f t="shared" si="35"/>
        <v>9492.3463365086336</v>
      </c>
      <c r="BD20" s="174">
        <f t="shared" si="36"/>
        <v>11555.176367078146</v>
      </c>
      <c r="BE20" s="106">
        <f t="shared" si="37"/>
        <v>19049.22717236005</v>
      </c>
      <c r="BF20" s="174">
        <f t="shared" si="38"/>
        <v>-8272.2663736488394</v>
      </c>
      <c r="BG20" s="106">
        <f t="shared" si="24"/>
        <v>-3930.4246011322698</v>
      </c>
      <c r="BH20" s="174">
        <f t="shared" si="25"/>
        <v>-4844.2668136714437</v>
      </c>
      <c r="BI20" s="106">
        <f t="shared" si="39"/>
        <v>-5698.5336091544696</v>
      </c>
      <c r="BJ20" s="174">
        <f>+AE20/BJ$2*1000</f>
        <v>-11672.389056159185</v>
      </c>
      <c r="BK20" s="106">
        <f>+AF20/BK$2*1000</f>
        <v>3237.579535794328</v>
      </c>
      <c r="BL20" s="174">
        <f>+AG20/BL$2*1000</f>
        <v>4997.1781848032424</v>
      </c>
    </row>
    <row r="21" spans="2:64" ht="30" outlineLevel="1" thickTop="1" thickBot="1" x14ac:dyDescent="0.35">
      <c r="B21" s="86" t="s">
        <v>132</v>
      </c>
      <c r="C21" s="86" t="s">
        <v>162</v>
      </c>
      <c r="D21" s="169">
        <v>-422.84525600000018</v>
      </c>
      <c r="E21" s="164">
        <v>-4.5754109999999173</v>
      </c>
      <c r="F21" s="169">
        <v>93.983497999999543</v>
      </c>
      <c r="G21" s="164">
        <v>435.41057000000012</v>
      </c>
      <c r="H21" s="169">
        <v>46.631303999999915</v>
      </c>
      <c r="I21" s="164">
        <v>672.99906500000031</v>
      </c>
      <c r="J21" s="169">
        <v>625.11162000000002</v>
      </c>
      <c r="K21" s="164">
        <v>270.44655599999902</v>
      </c>
      <c r="L21" s="169">
        <v>-1084.9234920000001</v>
      </c>
      <c r="M21" s="164">
        <v>-578.00315400000022</v>
      </c>
      <c r="N21" s="169">
        <v>-680</v>
      </c>
      <c r="O21" s="35">
        <f>+'éves P&amp;L_mérleg'!J89</f>
        <v>-1142.0194539999995</v>
      </c>
      <c r="P21" s="169">
        <f>+P17+P20</f>
        <v>550</v>
      </c>
      <c r="Q21" s="164">
        <f>+Q17+Q20</f>
        <v>1836.5170000000003</v>
      </c>
      <c r="R21" s="169">
        <f>+R17+R20</f>
        <v>2948.3889999999983</v>
      </c>
      <c r="S21" s="164">
        <v>2704.8329999999992</v>
      </c>
      <c r="T21" s="169">
        <v>1375.0710000000013</v>
      </c>
      <c r="U21" s="311">
        <f>+U17+U20</f>
        <v>5863</v>
      </c>
      <c r="V21" s="169">
        <v>15746</v>
      </c>
      <c r="W21" s="311">
        <v>10764.08</v>
      </c>
      <c r="X21" s="169">
        <v>6258.3739999999989</v>
      </c>
      <c r="Y21" s="311">
        <v>12405.1</v>
      </c>
      <c r="Z21" s="169">
        <v>18543</v>
      </c>
      <c r="AA21" s="311">
        <f>+'éves P&amp;L_mérleg'!M89</f>
        <v>9606.0520000000015</v>
      </c>
      <c r="AB21" s="169">
        <v>4168</v>
      </c>
      <c r="AC21" s="311">
        <v>7027.2680000000037</v>
      </c>
      <c r="AD21" s="169">
        <v>9121.1390000000029</v>
      </c>
      <c r="AE21" s="311">
        <v>8303.8450000000012</v>
      </c>
      <c r="AF21" s="169">
        <v>3881</v>
      </c>
      <c r="AG21" s="35">
        <f t="shared" ref="AG21" si="42">+AG17+AG20</f>
        <v>7795.2410000000018</v>
      </c>
      <c r="AI21" s="109">
        <f>+D21/AI$2*1000</f>
        <v>-1367.9442787357257</v>
      </c>
      <c r="AJ21" s="35">
        <f>+E21/AJ$2*1000</f>
        <v>-14.785145091449357</v>
      </c>
      <c r="AK21" s="109">
        <f>+F21/AK$2*1000</f>
        <v>304.72569223785592</v>
      </c>
      <c r="AL21" s="177">
        <f>+G21/AL$2*1000</f>
        <v>1397.9662556989667</v>
      </c>
      <c r="AM21" s="109">
        <f>+H21/AM$2*1000</f>
        <v>149.92542198501727</v>
      </c>
      <c r="AN21" s="177">
        <f>+I21/AN$2*1000</f>
        <v>2142.7631972745808</v>
      </c>
      <c r="AO21" s="109">
        <f>+J21/AO$2*1000</f>
        <v>1968.6074825218868</v>
      </c>
      <c r="AP21" s="177">
        <f>+K21/AP$2*1000</f>
        <v>848.14048358264813</v>
      </c>
      <c r="AQ21" s="109">
        <f>+L21/AQ$2*1000</f>
        <v>-3410.9582544722862</v>
      </c>
      <c r="AR21" s="177">
        <f>+M21/AR$2*1000</f>
        <v>-1803.0481766852802</v>
      </c>
      <c r="AS21" s="109">
        <f>+N21/AS$2*1000</f>
        <v>-2104.2208194083423</v>
      </c>
      <c r="AT21" s="177">
        <f>+O21/AT$2*1000</f>
        <v>-3510.1258767481158</v>
      </c>
      <c r="AU21" s="109">
        <f t="shared" si="28"/>
        <v>1622.1796195251436</v>
      </c>
      <c r="AV21" s="177">
        <f t="shared" si="41"/>
        <v>5320.9242358394904</v>
      </c>
      <c r="AW21" s="109">
        <f t="shared" si="29"/>
        <v>8471.6518690917401</v>
      </c>
      <c r="AX21" s="177">
        <f t="shared" si="30"/>
        <v>7501.3395085695247</v>
      </c>
      <c r="AY21" s="109">
        <f t="shared" si="31"/>
        <v>3808.0060924951572</v>
      </c>
      <c r="AZ21" s="177">
        <f t="shared" si="32"/>
        <v>16527.131782945737</v>
      </c>
      <c r="BA21" s="109">
        <f t="shared" si="33"/>
        <v>44494.051824013113</v>
      </c>
      <c r="BB21" s="177">
        <f t="shared" si="34"/>
        <v>30023.652794823163</v>
      </c>
      <c r="BC21" s="109">
        <f t="shared" si="35"/>
        <v>17180.59131962555</v>
      </c>
      <c r="BD21" s="177">
        <f t="shared" si="36"/>
        <v>33074.092836003947</v>
      </c>
      <c r="BE21" s="109">
        <f t="shared" si="37"/>
        <v>48169.892193791406</v>
      </c>
      <c r="BF21" s="177">
        <f t="shared" si="38"/>
        <v>24547.19035085478</v>
      </c>
      <c r="BG21" s="109">
        <f t="shared" si="24"/>
        <v>10725.681935151826</v>
      </c>
      <c r="BH21" s="177">
        <f t="shared" si="25"/>
        <v>18447.178033286094</v>
      </c>
      <c r="BI21" s="109">
        <f t="shared" si="39"/>
        <v>23884.204875749572</v>
      </c>
      <c r="BJ21" s="177">
        <f>+AE21/BJ$2*1000</f>
        <v>21740.659772221497</v>
      </c>
      <c r="BK21" s="109">
        <f>+AF21/BK$2*1000</f>
        <v>9997.6815476957163</v>
      </c>
      <c r="BL21" s="177">
        <f>+AG21/BL$2*1000</f>
        <v>19997.026832897242</v>
      </c>
    </row>
    <row r="22" spans="2:64" ht="15" outlineLevel="1" thickTop="1" x14ac:dyDescent="0.3">
      <c r="B22" s="91" t="s">
        <v>125</v>
      </c>
      <c r="C22" s="91" t="s">
        <v>157</v>
      </c>
      <c r="D22" s="167">
        <v>-422.40293400000002</v>
      </c>
      <c r="E22" s="159">
        <v>-3.1018319999999999</v>
      </c>
      <c r="F22" s="167">
        <v>95.7991636</v>
      </c>
      <c r="G22" s="159">
        <v>432.98184800000001</v>
      </c>
      <c r="H22" s="167">
        <v>46.924351600000001</v>
      </c>
      <c r="I22" s="159">
        <v>673.92794500000002</v>
      </c>
      <c r="J22" s="167">
        <v>625.51848700000005</v>
      </c>
      <c r="K22" s="159">
        <v>251.58546200000001</v>
      </c>
      <c r="L22" s="167">
        <v>-1084.6556889999999</v>
      </c>
      <c r="M22" s="159">
        <v>-577.73535100000004</v>
      </c>
      <c r="N22" s="167">
        <v>-678</v>
      </c>
      <c r="O22" s="101">
        <f>+'éves P&amp;L_mérleg'!J90</f>
        <v>0</v>
      </c>
      <c r="P22" s="167">
        <v>549</v>
      </c>
      <c r="Q22" s="159">
        <v>1835</v>
      </c>
      <c r="R22" s="167">
        <v>2948</v>
      </c>
      <c r="S22" s="159"/>
      <c r="T22" s="167">
        <v>1372.1950000000013</v>
      </c>
      <c r="U22" s="308">
        <v>5861</v>
      </c>
      <c r="V22" s="167">
        <v>15743</v>
      </c>
      <c r="W22" s="308">
        <v>10761.832999999999</v>
      </c>
      <c r="X22" s="167">
        <v>6256.7129999999988</v>
      </c>
      <c r="Y22" s="308">
        <v>12401</v>
      </c>
      <c r="Z22" s="167">
        <v>18537.776999999998</v>
      </c>
      <c r="AA22" s="308">
        <f>+'éves P&amp;L_mérleg'!M90</f>
        <v>9651</v>
      </c>
      <c r="AB22" s="167">
        <v>4217</v>
      </c>
      <c r="AC22" s="308">
        <v>7115.5200000000041</v>
      </c>
      <c r="AD22" s="167">
        <v>9190.4260000000031</v>
      </c>
      <c r="AE22" s="308">
        <v>8345</v>
      </c>
      <c r="AF22" s="167">
        <v>3806.0549999999976</v>
      </c>
      <c r="AG22" s="101">
        <v>7631</v>
      </c>
      <c r="AI22" s="129">
        <f>+D22/AI$2*1000</f>
        <v>-1366.5133253534341</v>
      </c>
      <c r="AJ22" s="101">
        <f>+E22/AJ$2*1000</f>
        <v>-10.023369740838881</v>
      </c>
      <c r="AK22" s="106">
        <f>+F22/AK$2*1000</f>
        <v>310.61268270540171</v>
      </c>
      <c r="AL22" s="174">
        <f>+G22/AL$2*1000</f>
        <v>1390.168394015283</v>
      </c>
      <c r="AM22" s="106">
        <f>+H22/AM$2*1000</f>
        <v>150.86760634022446</v>
      </c>
      <c r="AN22" s="174">
        <f>+I22/AN$2*1000</f>
        <v>2145.7206603413142</v>
      </c>
      <c r="AO22" s="106">
        <f>+J22/AO$2*1000</f>
        <v>1969.8887919632173</v>
      </c>
      <c r="AP22" s="174">
        <f>+K22/AP$2*1000</f>
        <v>788.99069213158964</v>
      </c>
      <c r="AQ22" s="106">
        <f>+L22/AQ$2*1000</f>
        <v>-3410.1162920111924</v>
      </c>
      <c r="AR22" s="174">
        <f>+M22/AR$2*1000</f>
        <v>-1802.212780359984</v>
      </c>
      <c r="AS22" s="106">
        <f>+N22/AS$2*1000</f>
        <v>-2098.0319346453771</v>
      </c>
      <c r="AT22" s="174">
        <f>+O22/AT$2*1000</f>
        <v>0</v>
      </c>
      <c r="AU22" s="106">
        <f t="shared" si="28"/>
        <v>1619.230202035098</v>
      </c>
      <c r="AV22" s="174">
        <f t="shared" si="41"/>
        <v>5316.5290453426051</v>
      </c>
      <c r="AW22" s="106">
        <f t="shared" si="29"/>
        <v>8470.5341493549422</v>
      </c>
      <c r="AX22" s="174">
        <f t="shared" si="30"/>
        <v>0</v>
      </c>
      <c r="AY22" s="106">
        <f t="shared" si="31"/>
        <v>3800.0415397396878</v>
      </c>
      <c r="AZ22" s="174">
        <f t="shared" si="32"/>
        <v>16521.494009866103</v>
      </c>
      <c r="BA22" s="106">
        <f t="shared" si="33"/>
        <v>44485.574613580495</v>
      </c>
      <c r="BB22" s="174">
        <f t="shared" si="34"/>
        <v>30017.385362043955</v>
      </c>
      <c r="BC22" s="106">
        <f t="shared" si="35"/>
        <v>17176.03151508496</v>
      </c>
      <c r="BD22" s="174">
        <f t="shared" si="36"/>
        <v>33063.161543178612</v>
      </c>
      <c r="BE22" s="106">
        <f t="shared" si="37"/>
        <v>48156.324197947783</v>
      </c>
      <c r="BF22" s="174">
        <f t="shared" si="38"/>
        <v>24662.049932282218</v>
      </c>
      <c r="BG22" s="106">
        <f t="shared" si="24"/>
        <v>10851.775604734945</v>
      </c>
      <c r="BH22" s="174">
        <f t="shared" si="25"/>
        <v>18678.847062529541</v>
      </c>
      <c r="BI22" s="106">
        <f t="shared" si="39"/>
        <v>24065.636701668031</v>
      </c>
      <c r="BJ22" s="174">
        <f>+AE22/BJ$2*1000</f>
        <v>21848.409477680325</v>
      </c>
      <c r="BK22" s="106">
        <f>+AF22/BK$2*1000</f>
        <v>9804.6188722017505</v>
      </c>
      <c r="BL22" s="174">
        <f>+AG22/BL$2*1000</f>
        <v>19575.701605869377</v>
      </c>
    </row>
    <row r="23" spans="2:64" ht="29.4" outlineLevel="1" thickBot="1" x14ac:dyDescent="0.35">
      <c r="B23" s="91" t="s">
        <v>158</v>
      </c>
      <c r="C23" s="93" t="s">
        <v>159</v>
      </c>
      <c r="D23" s="168">
        <v>-0.44232200000016064</v>
      </c>
      <c r="E23" s="160">
        <v>-1.4735789999999174</v>
      </c>
      <c r="F23" s="168">
        <v>-1.8156656000004574</v>
      </c>
      <c r="G23" s="160">
        <v>2.4287220000001071</v>
      </c>
      <c r="H23" s="168">
        <v>-0.29304760000008656</v>
      </c>
      <c r="I23" s="160">
        <v>-0.92887999999970816</v>
      </c>
      <c r="J23" s="168">
        <v>-0.71469199999887678</v>
      </c>
      <c r="K23" s="160">
        <v>18.861093999999014</v>
      </c>
      <c r="L23" s="168">
        <v>-0.26780300000018542</v>
      </c>
      <c r="M23" s="160">
        <v>-0.26780300000018542</v>
      </c>
      <c r="N23" s="168">
        <v>-2</v>
      </c>
      <c r="O23" s="239">
        <f>+'éves P&amp;L_mérleg'!J91</f>
        <v>0</v>
      </c>
      <c r="P23" s="168">
        <v>2</v>
      </c>
      <c r="Q23" s="160">
        <v>2</v>
      </c>
      <c r="R23" s="168">
        <v>0</v>
      </c>
      <c r="S23" s="160"/>
      <c r="T23" s="168">
        <v>2.8759999999999999</v>
      </c>
      <c r="U23" s="308">
        <v>2</v>
      </c>
      <c r="V23" s="168">
        <v>2</v>
      </c>
      <c r="W23" s="308">
        <v>2.266</v>
      </c>
      <c r="X23" s="168">
        <v>1.661</v>
      </c>
      <c r="Y23" s="308">
        <v>4</v>
      </c>
      <c r="Z23" s="168">
        <v>5.6109999999999998</v>
      </c>
      <c r="AA23" s="308">
        <f>+'éves P&amp;L_mérleg'!M91</f>
        <v>-45</v>
      </c>
      <c r="AB23" s="168">
        <v>-49</v>
      </c>
      <c r="AC23" s="308">
        <v>-88.251999999999995</v>
      </c>
      <c r="AD23" s="168">
        <v>-69.287000000000006</v>
      </c>
      <c r="AE23" s="308">
        <v>-41</v>
      </c>
      <c r="AF23" s="168">
        <v>75.433999999999997</v>
      </c>
      <c r="AG23" s="101">
        <v>164</v>
      </c>
      <c r="AI23" s="129">
        <f>+D23/AI$2*1000</f>
        <v>-1.4309533822916136</v>
      </c>
      <c r="AJ23" s="101">
        <f>+E23/AJ$2*1000</f>
        <v>-4.761775350610475</v>
      </c>
      <c r="AK23" s="106">
        <f>+F23/AK$2*1000</f>
        <v>-5.8869904675457407</v>
      </c>
      <c r="AL23" s="174">
        <f>+G23/AL$2*1000</f>
        <v>7.7978616836836423</v>
      </c>
      <c r="AM23" s="106">
        <f>+H23/AM$2*1000</f>
        <v>-0.94218435520717159</v>
      </c>
      <c r="AN23" s="174">
        <f>+I23/AN$2*1000</f>
        <v>-2.9574630667336606</v>
      </c>
      <c r="AO23" s="106">
        <f>+J23/AO$2*1000</f>
        <v>-2.2507148705639506</v>
      </c>
      <c r="AP23" s="174">
        <f>+K23/AP$2*1000</f>
        <v>59.149791451058469</v>
      </c>
      <c r="AQ23" s="106">
        <f>+L23/AQ$2*1000</f>
        <v>-0.84196246109405293</v>
      </c>
      <c r="AR23" s="174">
        <f>+M23/AR$2*1000</f>
        <v>-0.83539632529614571</v>
      </c>
      <c r="AS23" s="106">
        <f>+N23/AS$2*1000</f>
        <v>-6.1888847629657127</v>
      </c>
      <c r="AT23" s="174">
        <f>+O23/AT$2*1000</f>
        <v>0</v>
      </c>
      <c r="AU23" s="106">
        <f t="shared" si="28"/>
        <v>5.8988349800914319</v>
      </c>
      <c r="AV23" s="174">
        <f t="shared" si="41"/>
        <v>5.7945820657685063</v>
      </c>
      <c r="AW23" s="106">
        <f t="shared" si="29"/>
        <v>0</v>
      </c>
      <c r="AX23" s="174">
        <f t="shared" si="30"/>
        <v>0</v>
      </c>
      <c r="AY23" s="106">
        <f t="shared" si="31"/>
        <v>7.9645527554693984</v>
      </c>
      <c r="AZ23" s="174">
        <f t="shared" si="32"/>
        <v>5.6377730796335452</v>
      </c>
      <c r="BA23" s="106">
        <f t="shared" si="33"/>
        <v>5.6514736217468711</v>
      </c>
      <c r="BB23" s="174">
        <f t="shared" si="34"/>
        <v>6.3204284279817022</v>
      </c>
      <c r="BC23" s="106">
        <f t="shared" si="35"/>
        <v>4.5598045405880256</v>
      </c>
      <c r="BD23" s="174">
        <f t="shared" si="36"/>
        <v>10.664675927160264</v>
      </c>
      <c r="BE23" s="106">
        <f t="shared" si="37"/>
        <v>14.575918950513055</v>
      </c>
      <c r="BF23" s="174">
        <f t="shared" si="38"/>
        <v>-114.99246160529476</v>
      </c>
      <c r="BG23" s="106">
        <f t="shared" si="24"/>
        <v>-126.09366958311888</v>
      </c>
      <c r="BH23" s="174">
        <f t="shared" si="25"/>
        <v>-231.66902924345041</v>
      </c>
      <c r="BI23" s="106">
        <f t="shared" si="39"/>
        <v>-181.43182591845823</v>
      </c>
      <c r="BJ23" s="174">
        <f>+AE23/BJ$2*1000</f>
        <v>-107.34389317973557</v>
      </c>
      <c r="BK23" s="106">
        <f>+AF23/BK$2*1000</f>
        <v>194.32236791262011</v>
      </c>
      <c r="BL23" s="174">
        <f>+AG23/BL$2*1000</f>
        <v>420.70699297111486</v>
      </c>
    </row>
    <row r="24" spans="2:64" ht="15.6" outlineLevel="1" thickTop="1" thickBot="1" x14ac:dyDescent="0.35">
      <c r="B24" s="86" t="s">
        <v>139</v>
      </c>
      <c r="C24" s="86" t="s">
        <v>139</v>
      </c>
      <c r="D24" s="169">
        <v>469.15931099999978</v>
      </c>
      <c r="E24" s="164">
        <v>1263.3707420000001</v>
      </c>
      <c r="F24" s="169">
        <v>1399.6039349999996</v>
      </c>
      <c r="G24" s="164">
        <v>1934.9535209999999</v>
      </c>
      <c r="H24" s="169">
        <v>405.07730499999991</v>
      </c>
      <c r="I24" s="164">
        <v>936.13325000000032</v>
      </c>
      <c r="J24" s="169">
        <v>1166.353936</v>
      </c>
      <c r="K24" s="164">
        <v>1800.566902999999</v>
      </c>
      <c r="L24" s="169">
        <v>453.83241499999986</v>
      </c>
      <c r="M24" s="164">
        <v>2122.8434949999996</v>
      </c>
      <c r="N24" s="169">
        <v>2799</v>
      </c>
      <c r="O24" s="35">
        <f>+'éves P&amp;L_mérleg'!J92</f>
        <v>3779.18</v>
      </c>
      <c r="P24" s="169">
        <f>+P12-P10-P8</f>
        <v>1160</v>
      </c>
      <c r="Q24" s="164">
        <f>+Q12-Q10-Q8</f>
        <v>3137.3770000000004</v>
      </c>
      <c r="R24" s="169">
        <v>4428.2060000000001</v>
      </c>
      <c r="S24" s="164">
        <v>5512</v>
      </c>
      <c r="T24" s="169">
        <v>2299.8390986255072</v>
      </c>
      <c r="U24" s="311">
        <v>6213</v>
      </c>
      <c r="V24" s="169">
        <v>9698</v>
      </c>
      <c r="W24" s="311">
        <v>12879.987999999998</v>
      </c>
      <c r="X24" s="169">
        <v>4616</v>
      </c>
      <c r="Y24" s="311">
        <v>11808</v>
      </c>
      <c r="Z24" s="169">
        <v>16337</v>
      </c>
      <c r="AA24" s="311">
        <f>+'éves P&amp;L_mérleg'!M92</f>
        <v>20220.628000000001</v>
      </c>
      <c r="AB24" s="169">
        <v>7840</v>
      </c>
      <c r="AC24" s="311">
        <v>12766.328000000009</v>
      </c>
      <c r="AD24" s="169">
        <v>16329.417000000001</v>
      </c>
      <c r="AE24" s="311">
        <v>19432</v>
      </c>
      <c r="AF24" s="169">
        <v>4487.0460000000003</v>
      </c>
      <c r="AG24" s="35">
        <v>9763</v>
      </c>
      <c r="AI24" s="109">
        <f>+D24/AI$2*1000</f>
        <v>1517.7746142150036</v>
      </c>
      <c r="AJ24" s="35">
        <f>+E24/AJ$2*1000</f>
        <v>4082.500943579138</v>
      </c>
      <c r="AK24" s="109">
        <f>+F24/AK$2*1000</f>
        <v>4537.9804649503913</v>
      </c>
      <c r="AL24" s="177">
        <f>+G24/AL$2*1000</f>
        <v>6212.5265555769602</v>
      </c>
      <c r="AM24" s="109">
        <f>+H24/AM$2*1000</f>
        <v>1302.373742082757</v>
      </c>
      <c r="AN24" s="177">
        <f>+I24/AN$2*1000</f>
        <v>2980.5567052980141</v>
      </c>
      <c r="AO24" s="109">
        <f>+J24/AO$2*1000</f>
        <v>3673.0929520690302</v>
      </c>
      <c r="AP24" s="177">
        <f>+K24/AP$2*1000</f>
        <v>5646.711521936837</v>
      </c>
      <c r="AQ24" s="109">
        <f>+L24/AQ$2*1000</f>
        <v>1426.8318766309299</v>
      </c>
      <c r="AR24" s="177">
        <f>+M24/AR$2*1000</f>
        <v>6622.090323486289</v>
      </c>
      <c r="AS24" s="109">
        <f>+N24/AS$2*1000</f>
        <v>8661.3442257705155</v>
      </c>
      <c r="AT24" s="177">
        <f>+O24/AT$2*1000</f>
        <v>11615.73689872445</v>
      </c>
      <c r="AU24" s="109">
        <f t="shared" si="28"/>
        <v>3421.3242884530305</v>
      </c>
      <c r="AV24" s="177">
        <f t="shared" si="41"/>
        <v>9089.8942488773027</v>
      </c>
      <c r="AW24" s="109">
        <f t="shared" si="29"/>
        <v>12723.633020141942</v>
      </c>
      <c r="AX24" s="177">
        <f t="shared" si="30"/>
        <v>15286.482888679349</v>
      </c>
      <c r="AY24" s="109">
        <f t="shared" si="31"/>
        <v>6368.9811648449377</v>
      </c>
      <c r="AZ24" s="177">
        <f t="shared" si="32"/>
        <v>17513.742071881607</v>
      </c>
      <c r="BA24" s="109">
        <f t="shared" si="33"/>
        <v>27403.995591850577</v>
      </c>
      <c r="BB24" s="177">
        <f t="shared" si="34"/>
        <v>35925.437911413581</v>
      </c>
      <c r="BC24" s="109">
        <f t="shared" si="35"/>
        <v>12671.919180827408</v>
      </c>
      <c r="BD24" s="177">
        <f t="shared" si="36"/>
        <v>31482.123336977096</v>
      </c>
      <c r="BE24" s="109">
        <f t="shared" si="37"/>
        <v>42439.277828289392</v>
      </c>
      <c r="BF24" s="177">
        <f t="shared" si="38"/>
        <v>51671.550864998855</v>
      </c>
      <c r="BG24" s="109">
        <f t="shared" si="24"/>
        <v>20174.987133299019</v>
      </c>
      <c r="BH24" s="177">
        <f t="shared" si="25"/>
        <v>33512.700162755318</v>
      </c>
      <c r="BI24" s="109">
        <f t="shared" si="39"/>
        <v>42759.477860116793</v>
      </c>
      <c r="BJ24" s="177">
        <f>+AE24/BJ$2*1000</f>
        <v>50875.769079722479</v>
      </c>
      <c r="BK24" s="109">
        <f>+AF24/BK$2*1000</f>
        <v>11558.89126458693</v>
      </c>
      <c r="BL24" s="177">
        <f>+AG24/BL$2*1000</f>
        <v>25044.892514493869</v>
      </c>
    </row>
    <row r="25" spans="2:64" ht="15" outlineLevel="1" thickTop="1" x14ac:dyDescent="0.3">
      <c r="B25" s="142"/>
      <c r="C25" s="142"/>
      <c r="D25" s="143"/>
      <c r="E25" s="146"/>
      <c r="F25" s="143"/>
      <c r="G25" s="146"/>
      <c r="H25" s="143"/>
      <c r="I25" s="146"/>
      <c r="J25" s="143"/>
      <c r="K25" s="146"/>
      <c r="L25" s="143"/>
      <c r="M25" s="146"/>
      <c r="N25" s="143"/>
      <c r="O25" s="144"/>
      <c r="P25" s="143"/>
      <c r="Q25" s="146"/>
      <c r="R25" s="143"/>
      <c r="S25" s="146"/>
      <c r="T25" s="143"/>
      <c r="U25" s="312">
        <f>+U24-T24</f>
        <v>3913.1609013744928</v>
      </c>
      <c r="V25" s="143">
        <f>+V24-U24</f>
        <v>3485</v>
      </c>
      <c r="W25" s="312"/>
      <c r="X25" s="143"/>
      <c r="Y25" s="312"/>
      <c r="Z25" s="143"/>
      <c r="AA25" s="312"/>
      <c r="AB25" s="143"/>
      <c r="AC25" s="312"/>
      <c r="AD25" s="143"/>
      <c r="AE25" s="312"/>
      <c r="AF25" s="143"/>
      <c r="AG25" s="312"/>
      <c r="AI25" s="143"/>
      <c r="AJ25" s="144"/>
      <c r="AK25" s="143"/>
      <c r="AL25" s="144"/>
      <c r="AM25" s="143"/>
      <c r="AN25" s="144"/>
      <c r="AO25" s="143"/>
      <c r="AP25" s="144"/>
      <c r="AQ25" s="143"/>
      <c r="AR25" s="144"/>
      <c r="AS25" s="143"/>
      <c r="AT25" s="144"/>
      <c r="AU25" s="143"/>
      <c r="AV25" s="144"/>
      <c r="AW25" s="143"/>
      <c r="AY25" s="143"/>
      <c r="BA25" s="143"/>
      <c r="BC25" s="143"/>
      <c r="BE25" s="143"/>
      <c r="BG25" s="143"/>
      <c r="BI25" s="143"/>
      <c r="BK25" s="143"/>
    </row>
    <row r="26" spans="2:64" hidden="1" outlineLevel="2" x14ac:dyDescent="0.3">
      <c r="B26" s="25" t="s">
        <v>313</v>
      </c>
      <c r="D26" s="170">
        <v>15631176</v>
      </c>
      <c r="E26" s="165">
        <v>15631176</v>
      </c>
      <c r="F26" s="170">
        <v>15631176</v>
      </c>
      <c r="G26" s="165">
        <v>15631176</v>
      </c>
      <c r="H26" s="170">
        <v>15631176</v>
      </c>
      <c r="I26" s="165">
        <v>15631176</v>
      </c>
      <c r="J26" s="170">
        <v>15628179</v>
      </c>
      <c r="K26" s="165">
        <v>15624379</v>
      </c>
      <c r="L26" s="170">
        <v>15790216.444444444</v>
      </c>
      <c r="M26" s="165">
        <v>17207622.668508288</v>
      </c>
      <c r="N26" s="170">
        <v>17813603</v>
      </c>
      <c r="O26" s="240">
        <v>18027438.233516484</v>
      </c>
      <c r="P26" s="170">
        <v>18027438.233516484</v>
      </c>
      <c r="Q26" s="165">
        <v>18637416.729281768</v>
      </c>
      <c r="R26" s="170">
        <v>18637728</v>
      </c>
      <c r="S26" s="165">
        <v>18636921</v>
      </c>
      <c r="T26" s="170"/>
      <c r="U26" s="313"/>
      <c r="V26" s="170"/>
      <c r="W26" s="313"/>
      <c r="X26" s="170"/>
      <c r="Y26" s="313"/>
      <c r="Z26" s="170"/>
      <c r="AA26" s="313"/>
      <c r="AB26" s="170"/>
      <c r="AC26" s="313"/>
      <c r="AD26" s="170"/>
      <c r="AE26" s="313"/>
      <c r="AF26" s="170"/>
      <c r="AG26" s="313"/>
      <c r="AI26" s="146"/>
      <c r="AJ26" s="144"/>
      <c r="AK26" s="146"/>
      <c r="AL26" s="146"/>
      <c r="AM26" s="146"/>
      <c r="AN26" s="146"/>
      <c r="AO26" s="146"/>
      <c r="AP26" s="146"/>
      <c r="AQ26" s="146"/>
      <c r="AR26" s="146"/>
      <c r="AS26" s="146"/>
      <c r="AT26" s="144"/>
      <c r="AU26" s="146"/>
      <c r="AV26" s="144"/>
      <c r="AW26" s="146"/>
      <c r="AY26" s="146"/>
      <c r="BA26" s="146"/>
      <c r="BC26" s="146"/>
      <c r="BE26" s="146"/>
      <c r="BG26" s="146"/>
      <c r="BI26" s="146"/>
      <c r="BK26" s="146"/>
    </row>
    <row r="27" spans="2:64" hidden="1" outlineLevel="2" x14ac:dyDescent="0.3">
      <c r="B27" s="25" t="s">
        <v>314</v>
      </c>
      <c r="D27" s="170">
        <v>16401200</v>
      </c>
      <c r="E27" s="165">
        <v>16401200</v>
      </c>
      <c r="F27" s="170">
        <v>16401200</v>
      </c>
      <c r="G27" s="165">
        <v>16401200</v>
      </c>
      <c r="H27" s="170">
        <v>16401200</v>
      </c>
      <c r="I27" s="165">
        <v>16401200</v>
      </c>
      <c r="J27" s="170">
        <v>16401200</v>
      </c>
      <c r="K27" s="165">
        <v>16401200</v>
      </c>
      <c r="L27" s="170">
        <v>16567037.444444444</v>
      </c>
      <c r="M27" s="165">
        <v>17984443.668508288</v>
      </c>
      <c r="N27" s="170">
        <v>18569192</v>
      </c>
      <c r="O27" s="240">
        <v>18781080.915068492</v>
      </c>
      <c r="P27" s="170">
        <v>18781080.915068492</v>
      </c>
      <c r="Q27" s="165">
        <v>19386274</v>
      </c>
      <c r="R27" s="170">
        <v>19386274</v>
      </c>
      <c r="S27" s="165">
        <v>19386274</v>
      </c>
      <c r="T27" s="170"/>
      <c r="U27" s="313"/>
      <c r="V27" s="170"/>
      <c r="W27" s="313"/>
      <c r="X27" s="170"/>
      <c r="Y27" s="313"/>
      <c r="Z27" s="170"/>
      <c r="AA27" s="313"/>
      <c r="AB27" s="170"/>
      <c r="AC27" s="313"/>
      <c r="AD27" s="170"/>
      <c r="AE27" s="313"/>
      <c r="AF27" s="170"/>
      <c r="AG27" s="313"/>
      <c r="AI27" s="146"/>
      <c r="AJ27" s="144"/>
      <c r="AK27" s="146"/>
      <c r="AL27" s="146"/>
      <c r="AM27" s="146"/>
      <c r="AN27" s="146"/>
      <c r="AO27" s="146"/>
      <c r="AP27" s="146"/>
      <c r="AQ27" s="146"/>
      <c r="AR27" s="146"/>
      <c r="AS27" s="146"/>
      <c r="AT27" s="144"/>
      <c r="AU27" s="146"/>
      <c r="AV27" s="144"/>
      <c r="AW27" s="146"/>
      <c r="AY27" s="146"/>
      <c r="BA27" s="146"/>
      <c r="BC27" s="146"/>
      <c r="BE27" s="146"/>
      <c r="BG27" s="146"/>
      <c r="BI27" s="146"/>
      <c r="BK27" s="146"/>
    </row>
    <row r="28" spans="2:64" hidden="1" outlineLevel="2" x14ac:dyDescent="0.3">
      <c r="B28" s="36"/>
      <c r="D28" s="171"/>
      <c r="E28" s="36"/>
      <c r="F28" s="171"/>
      <c r="G28" s="36"/>
      <c r="H28" s="171"/>
      <c r="I28" s="36"/>
      <c r="J28" s="171"/>
      <c r="K28" s="36"/>
      <c r="L28" s="171"/>
      <c r="M28" s="36"/>
      <c r="N28" s="143"/>
      <c r="O28" s="144"/>
      <c r="P28" s="171"/>
      <c r="Q28" s="36"/>
      <c r="R28" s="143"/>
      <c r="S28" s="36"/>
      <c r="T28" s="143"/>
      <c r="U28" s="312"/>
      <c r="V28" s="143"/>
      <c r="W28" s="312"/>
      <c r="X28" s="143"/>
      <c r="Y28" s="312"/>
      <c r="Z28" s="143"/>
      <c r="AA28" s="312"/>
      <c r="AB28" s="143"/>
      <c r="AC28" s="312"/>
      <c r="AD28" s="143"/>
      <c r="AE28" s="312"/>
      <c r="AF28" s="143"/>
      <c r="AG28" s="312"/>
      <c r="AI28" s="146"/>
      <c r="AJ28" s="144"/>
      <c r="AK28" s="146"/>
      <c r="AL28" s="146"/>
      <c r="AM28" s="146"/>
      <c r="AN28" s="146"/>
      <c r="AO28" s="146"/>
      <c r="AP28" s="146"/>
      <c r="AQ28" s="146"/>
      <c r="AR28" s="146"/>
      <c r="AS28" s="146"/>
      <c r="AT28" s="144"/>
      <c r="AU28" s="146"/>
      <c r="AV28" s="144"/>
      <c r="AW28" s="146"/>
      <c r="AY28" s="146"/>
      <c r="BA28" s="146"/>
      <c r="BC28" s="146"/>
      <c r="BE28" s="146"/>
      <c r="BG28" s="146"/>
      <c r="BI28" s="146"/>
      <c r="BK28" s="146"/>
    </row>
    <row r="29" spans="2:64" hidden="1" outlineLevel="2" x14ac:dyDescent="0.3">
      <c r="B29" s="37" t="s">
        <v>163</v>
      </c>
      <c r="D29" s="180">
        <v>-3.9412900859154809</v>
      </c>
      <c r="E29" s="180">
        <v>37.638040989366381</v>
      </c>
      <c r="F29" s="180">
        <v>33.55064517218667</v>
      </c>
      <c r="G29" s="180">
        <v>58.378586934214034</v>
      </c>
      <c r="H29" s="180">
        <v>8.5064726160079065</v>
      </c>
      <c r="I29" s="180">
        <v>22.507348455420118</v>
      </c>
      <c r="J29" s="180">
        <v>19.452042365268532</v>
      </c>
      <c r="K29" s="180">
        <v>32.722069785941578</v>
      </c>
      <c r="L29" s="180">
        <v>-1.478349969560617</v>
      </c>
      <c r="M29" s="180">
        <v>28.102480006433151</v>
      </c>
      <c r="N29" s="180">
        <v>20.61</v>
      </c>
      <c r="O29" s="180">
        <v>15.016917128950903</v>
      </c>
      <c r="P29" s="180">
        <v>20.85</v>
      </c>
      <c r="Q29" s="180">
        <v>57</v>
      </c>
      <c r="R29" s="180">
        <v>63.09</v>
      </c>
      <c r="S29" s="180">
        <v>31.48</v>
      </c>
      <c r="T29" s="180"/>
      <c r="U29" s="180">
        <v>148.55000000000001</v>
      </c>
      <c r="V29" s="180">
        <v>258.52193279766402</v>
      </c>
      <c r="W29" s="180"/>
      <c r="X29" s="180"/>
      <c r="Y29" s="180"/>
      <c r="Z29" s="180">
        <v>568.2354114191553</v>
      </c>
      <c r="AA29" s="180">
        <v>568.2354114191553</v>
      </c>
      <c r="AB29" s="180"/>
      <c r="AC29" s="180"/>
      <c r="AD29" s="180"/>
      <c r="AE29" s="180"/>
      <c r="AF29" s="180"/>
      <c r="AG29" s="180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4"/>
      <c r="AU29" s="146"/>
      <c r="AV29" s="144"/>
      <c r="AW29" s="146"/>
      <c r="AY29" s="146"/>
      <c r="BA29" s="146"/>
      <c r="BC29" s="146"/>
      <c r="BE29" s="146"/>
      <c r="BG29" s="146"/>
      <c r="BI29" s="146"/>
      <c r="BK29" s="146"/>
    </row>
    <row r="30" spans="2:64" hidden="1" outlineLevel="2" x14ac:dyDescent="0.3">
      <c r="B30" s="37" t="s">
        <v>164</v>
      </c>
      <c r="D30" s="180">
        <v>-3.7562494817452383</v>
      </c>
      <c r="E30" s="180">
        <v>35.870963283174405</v>
      </c>
      <c r="F30" s="180">
        <v>31.975467624320178</v>
      </c>
      <c r="G30" s="180">
        <v>55.6377562007658</v>
      </c>
      <c r="H30" s="180">
        <v>8.10710012681999</v>
      </c>
      <c r="I30" s="180">
        <v>21.450645379606371</v>
      </c>
      <c r="J30" s="180">
        <v>18.535229129575885</v>
      </c>
      <c r="K30" s="180">
        <v>31.17223251957174</v>
      </c>
      <c r="L30" s="180">
        <v>-1.4090307985528185</v>
      </c>
      <c r="M30" s="180">
        <v>26.888620015906785</v>
      </c>
      <c r="N30" s="180">
        <v>19.75</v>
      </c>
      <c r="O30" s="180">
        <v>14.414321903208245</v>
      </c>
      <c r="P30" s="180">
        <v>20.05</v>
      </c>
      <c r="Q30" s="180">
        <v>54.8</v>
      </c>
      <c r="R30" s="180">
        <v>60.65</v>
      </c>
      <c r="S30" s="180">
        <v>30.26</v>
      </c>
      <c r="T30" s="180"/>
      <c r="U30" s="180">
        <v>145.36000000000001</v>
      </c>
      <c r="V30" s="180">
        <v>252.96795041687741</v>
      </c>
      <c r="W30" s="180"/>
      <c r="X30" s="180"/>
      <c r="Y30" s="180"/>
      <c r="Z30" s="180">
        <v>568.0528303458841</v>
      </c>
      <c r="AA30" s="180">
        <v>568.0528303458841</v>
      </c>
      <c r="AB30" s="180"/>
      <c r="AC30" s="180"/>
      <c r="AD30" s="180"/>
      <c r="AE30" s="180"/>
      <c r="AF30" s="180"/>
      <c r="AG30" s="180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4"/>
      <c r="AU30" s="146"/>
      <c r="AV30" s="144"/>
      <c r="AW30" s="146"/>
      <c r="AY30" s="146"/>
      <c r="BA30" s="146"/>
      <c r="BC30" s="146"/>
      <c r="BE30" s="146"/>
      <c r="BG30" s="146"/>
      <c r="BI30" s="146"/>
      <c r="BK30" s="146"/>
    </row>
    <row r="31" spans="2:64" outlineLevel="1" collapsed="1" x14ac:dyDescent="0.3">
      <c r="B31" s="142"/>
      <c r="C31" s="142"/>
      <c r="D31" s="143"/>
      <c r="E31" s="146"/>
      <c r="F31" s="143"/>
      <c r="G31" s="146"/>
      <c r="H31" s="143"/>
      <c r="I31" s="146"/>
      <c r="J31" s="143"/>
      <c r="K31" s="146"/>
      <c r="L31" s="143"/>
      <c r="M31" s="146"/>
      <c r="N31" s="143"/>
      <c r="O31" s="144"/>
      <c r="P31" s="143"/>
      <c r="Q31" s="146"/>
      <c r="R31" s="143"/>
      <c r="S31" s="146"/>
      <c r="T31" s="143"/>
      <c r="U31" s="312"/>
      <c r="V31" s="143"/>
      <c r="W31" s="312"/>
      <c r="X31" s="143"/>
      <c r="Y31" s="312"/>
      <c r="Z31" s="143"/>
      <c r="AA31" s="312"/>
      <c r="AB31" s="143"/>
      <c r="AC31" s="312"/>
      <c r="AD31" s="143"/>
      <c r="AE31" s="312"/>
      <c r="AF31" s="143"/>
      <c r="AG31" s="312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4"/>
      <c r="AU31" s="146"/>
      <c r="AV31" s="144"/>
      <c r="AW31" s="146"/>
      <c r="AY31" s="146"/>
      <c r="BA31" s="146"/>
      <c r="BC31" s="146"/>
      <c r="BE31" s="146"/>
      <c r="BG31" s="146"/>
      <c r="BI31" s="146"/>
      <c r="BK31" s="146"/>
    </row>
    <row r="32" spans="2:64" x14ac:dyDescent="0.3"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79" t="s">
        <v>320</v>
      </c>
      <c r="AI32" s="178">
        <v>308.7</v>
      </c>
      <c r="AJ32" s="178">
        <v>308.87</v>
      </c>
      <c r="AK32" s="178">
        <v>311.23</v>
      </c>
      <c r="AL32" s="178">
        <f>'éves P&amp;L_mérleg'!S3</f>
        <v>311.02</v>
      </c>
      <c r="AM32" s="178">
        <v>312.55</v>
      </c>
      <c r="AN32" s="178">
        <v>328.6</v>
      </c>
      <c r="AO32" s="178">
        <v>323.77999999999997</v>
      </c>
      <c r="AP32" s="178">
        <f>'éves P&amp;L_mérleg'!T3</f>
        <v>310.14</v>
      </c>
      <c r="AQ32" s="178">
        <v>320.79000000000002</v>
      </c>
      <c r="AR32" s="178">
        <v>323.54000000000002</v>
      </c>
      <c r="AS32" s="178">
        <v>334.65</v>
      </c>
      <c r="AT32" s="103">
        <v>330.52</v>
      </c>
      <c r="AU32" s="178">
        <v>359.09</v>
      </c>
      <c r="AV32" s="103">
        <v>356.57</v>
      </c>
      <c r="AW32" s="178">
        <v>364.65</v>
      </c>
      <c r="AX32" s="103">
        <v>365.13</v>
      </c>
      <c r="AY32" s="178">
        <v>363.73</v>
      </c>
      <c r="AZ32" s="103">
        <v>351.9</v>
      </c>
      <c r="BA32" s="178">
        <v>360.52</v>
      </c>
      <c r="BB32" s="103">
        <v>369</v>
      </c>
      <c r="BC32" s="178">
        <v>369.62</v>
      </c>
      <c r="BD32" s="103">
        <v>396.75</v>
      </c>
      <c r="BE32" s="178">
        <v>421.41</v>
      </c>
      <c r="BF32" s="103">
        <v>400.25</v>
      </c>
      <c r="BG32" s="178">
        <v>380.99</v>
      </c>
      <c r="BH32" s="103">
        <v>371.13</v>
      </c>
      <c r="BI32" s="178">
        <v>391.25</v>
      </c>
      <c r="BJ32" s="103">
        <v>382.78</v>
      </c>
      <c r="BK32" s="178">
        <v>395.83</v>
      </c>
      <c r="BL32" s="103">
        <v>395.15</v>
      </c>
    </row>
    <row r="33" spans="1:64" x14ac:dyDescent="0.3">
      <c r="A33" s="1" t="s">
        <v>0</v>
      </c>
      <c r="B33" s="147"/>
      <c r="C33" s="147" t="s">
        <v>1</v>
      </c>
      <c r="D33" s="133">
        <v>42825</v>
      </c>
      <c r="E33" s="133">
        <v>42916</v>
      </c>
      <c r="F33" s="133">
        <v>43008</v>
      </c>
      <c r="G33" s="133">
        <v>43100</v>
      </c>
      <c r="H33" s="133">
        <v>43190</v>
      </c>
      <c r="I33" s="133">
        <v>43281</v>
      </c>
      <c r="J33" s="133">
        <v>43373</v>
      </c>
      <c r="K33" s="133">
        <v>43465</v>
      </c>
      <c r="L33" s="133">
        <v>43555</v>
      </c>
      <c r="M33" s="133">
        <v>43646</v>
      </c>
      <c r="N33" s="133">
        <v>43738</v>
      </c>
      <c r="O33" s="133">
        <v>43830</v>
      </c>
      <c r="P33" s="133">
        <v>43921</v>
      </c>
      <c r="Q33" s="133">
        <v>44012</v>
      </c>
      <c r="R33" s="133">
        <v>44104</v>
      </c>
      <c r="S33" s="133">
        <v>44196</v>
      </c>
      <c r="T33" s="133">
        <v>44286</v>
      </c>
      <c r="U33" s="133">
        <v>44377</v>
      </c>
      <c r="V33" s="133">
        <v>44469</v>
      </c>
      <c r="W33" s="133">
        <v>44561</v>
      </c>
      <c r="X33" s="133">
        <v>44651</v>
      </c>
      <c r="Y33" s="133">
        <v>44742</v>
      </c>
      <c r="Z33" s="133">
        <v>44834</v>
      </c>
      <c r="AA33" s="133">
        <v>44926</v>
      </c>
      <c r="AB33" s="133">
        <v>45016</v>
      </c>
      <c r="AC33" s="133">
        <v>45107</v>
      </c>
      <c r="AD33" s="133">
        <v>45199</v>
      </c>
      <c r="AE33" s="133">
        <v>45291</v>
      </c>
      <c r="AF33" s="133">
        <v>45382</v>
      </c>
      <c r="AG33" s="133">
        <v>45473</v>
      </c>
      <c r="AH33" s="134"/>
      <c r="AI33" s="133">
        <v>42825</v>
      </c>
      <c r="AJ33" s="133">
        <v>42916</v>
      </c>
      <c r="AK33" s="133">
        <v>43008</v>
      </c>
      <c r="AL33" s="133">
        <v>43100</v>
      </c>
      <c r="AM33" s="133">
        <v>43190</v>
      </c>
      <c r="AN33" s="133">
        <v>43281</v>
      </c>
      <c r="AO33" s="133">
        <v>43373</v>
      </c>
      <c r="AP33" s="133">
        <v>43465</v>
      </c>
      <c r="AQ33" s="133">
        <v>43555</v>
      </c>
      <c r="AR33" s="133">
        <v>43646</v>
      </c>
      <c r="AS33" s="133">
        <v>43738</v>
      </c>
      <c r="AT33" s="133">
        <v>43830</v>
      </c>
      <c r="AU33" s="133" t="str">
        <f>+AU3</f>
        <v>2020 Q1</v>
      </c>
      <c r="AV33" s="133" t="str">
        <f>+AV3</f>
        <v>2020 Q2</v>
      </c>
      <c r="AW33" s="133" t="str">
        <f>+AW3</f>
        <v>2020 Q3</v>
      </c>
      <c r="AX33" s="133" t="s">
        <v>436</v>
      </c>
      <c r="AY33" s="133" t="s">
        <v>441</v>
      </c>
      <c r="AZ33" s="133" t="s">
        <v>457</v>
      </c>
      <c r="BA33" s="133" t="s">
        <v>458</v>
      </c>
      <c r="BB33" s="133" t="s">
        <v>458</v>
      </c>
      <c r="BC33" s="133" t="s">
        <v>467</v>
      </c>
      <c r="BD33" s="133" t="s">
        <v>468</v>
      </c>
      <c r="BE33" s="133" t="s">
        <v>470</v>
      </c>
      <c r="BF33" s="133" t="s">
        <v>482</v>
      </c>
      <c r="BG33" s="133" t="s">
        <v>502</v>
      </c>
      <c r="BH33" s="133" t="s">
        <v>511</v>
      </c>
      <c r="BI33" s="133" t="s">
        <v>503</v>
      </c>
      <c r="BJ33" s="133" t="s">
        <v>510</v>
      </c>
      <c r="BK33" s="133" t="s">
        <v>510</v>
      </c>
      <c r="BL33" s="133" t="s">
        <v>517</v>
      </c>
    </row>
    <row r="34" spans="1:64" ht="15" customHeight="1" thickBot="1" x14ac:dyDescent="0.35">
      <c r="B34" s="147" t="s">
        <v>93</v>
      </c>
      <c r="C34" s="148" t="s">
        <v>166</v>
      </c>
      <c r="D34" s="131" t="s">
        <v>170</v>
      </c>
      <c r="E34" s="131" t="s">
        <v>170</v>
      </c>
      <c r="F34" s="131" t="s">
        <v>170</v>
      </c>
      <c r="G34" s="131" t="s">
        <v>170</v>
      </c>
      <c r="H34" s="131" t="s">
        <v>170</v>
      </c>
      <c r="I34" s="131" t="s">
        <v>170</v>
      </c>
      <c r="J34" s="131" t="s">
        <v>170</v>
      </c>
      <c r="K34" s="131" t="s">
        <v>170</v>
      </c>
      <c r="L34" s="131" t="s">
        <v>170</v>
      </c>
      <c r="M34" s="131" t="s">
        <v>170</v>
      </c>
      <c r="N34" s="131" t="s">
        <v>170</v>
      </c>
      <c r="O34" s="131" t="s">
        <v>437</v>
      </c>
      <c r="P34" s="131" t="s">
        <v>170</v>
      </c>
      <c r="Q34" s="131" t="s">
        <v>170</v>
      </c>
      <c r="R34" s="131" t="s">
        <v>170</v>
      </c>
      <c r="S34" s="131" t="s">
        <v>437</v>
      </c>
      <c r="T34" s="131" t="s">
        <v>170</v>
      </c>
      <c r="U34" s="131" t="s">
        <v>170</v>
      </c>
      <c r="V34" s="131" t="s">
        <v>170</v>
      </c>
      <c r="W34" s="131" t="s">
        <v>170</v>
      </c>
      <c r="X34" s="131" t="s">
        <v>170</v>
      </c>
      <c r="Y34" s="131" t="s">
        <v>170</v>
      </c>
      <c r="Z34" s="131" t="s">
        <v>170</v>
      </c>
      <c r="AA34" s="131" t="s">
        <v>437</v>
      </c>
      <c r="AB34" s="131" t="s">
        <v>170</v>
      </c>
      <c r="AC34" s="131" t="s">
        <v>170</v>
      </c>
      <c r="AD34" s="131" t="s">
        <v>170</v>
      </c>
      <c r="AE34" s="131" t="s">
        <v>437</v>
      </c>
      <c r="AF34" s="131" t="s">
        <v>170</v>
      </c>
      <c r="AG34" s="131" t="s">
        <v>170</v>
      </c>
      <c r="AI34" s="132" t="s">
        <v>316</v>
      </c>
      <c r="AJ34" s="98" t="str">
        <f>AI34</f>
        <v>not audited</v>
      </c>
      <c r="AK34" s="98" t="str">
        <f t="shared" ref="AK34:AT34" si="43">AJ34</f>
        <v>not audited</v>
      </c>
      <c r="AL34" s="98" t="str">
        <f t="shared" si="43"/>
        <v>not audited</v>
      </c>
      <c r="AM34" s="98" t="str">
        <f t="shared" si="43"/>
        <v>not audited</v>
      </c>
      <c r="AN34" s="98" t="str">
        <f t="shared" si="43"/>
        <v>not audited</v>
      </c>
      <c r="AO34" s="98" t="str">
        <f t="shared" si="43"/>
        <v>not audited</v>
      </c>
      <c r="AP34" s="98" t="str">
        <f t="shared" si="43"/>
        <v>not audited</v>
      </c>
      <c r="AQ34" s="98" t="str">
        <f t="shared" si="43"/>
        <v>not audited</v>
      </c>
      <c r="AR34" s="98" t="str">
        <f t="shared" si="43"/>
        <v>not audited</v>
      </c>
      <c r="AS34" s="98" t="str">
        <f t="shared" si="43"/>
        <v>not audited</v>
      </c>
      <c r="AT34" s="98" t="str">
        <f t="shared" si="43"/>
        <v>not audited</v>
      </c>
      <c r="AU34" s="98" t="str">
        <f t="shared" ref="AU34" si="44">AT34</f>
        <v>not audited</v>
      </c>
      <c r="AV34" s="98" t="str">
        <f t="shared" ref="AV34" si="45">AU34</f>
        <v>not audited</v>
      </c>
      <c r="AW34" s="98" t="str">
        <f t="shared" ref="AW34" si="46">AV34</f>
        <v>not audited</v>
      </c>
      <c r="AX34" s="98" t="s">
        <v>438</v>
      </c>
      <c r="AY34" s="98" t="s">
        <v>316</v>
      </c>
      <c r="AZ34" s="98" t="s">
        <v>316</v>
      </c>
      <c r="BA34" s="98" t="s">
        <v>316</v>
      </c>
      <c r="BB34" s="98" t="s">
        <v>316</v>
      </c>
      <c r="BC34" s="98" t="s">
        <v>316</v>
      </c>
      <c r="BD34" s="98" t="s">
        <v>316</v>
      </c>
      <c r="BE34" s="98" t="s">
        <v>316</v>
      </c>
      <c r="BF34" s="98" t="s">
        <v>438</v>
      </c>
      <c r="BG34" s="98" t="s">
        <v>316</v>
      </c>
      <c r="BH34" s="98" t="s">
        <v>316</v>
      </c>
      <c r="BI34" s="98" t="s">
        <v>316</v>
      </c>
      <c r="BJ34" s="98" t="s">
        <v>438</v>
      </c>
      <c r="BK34" s="98" t="s">
        <v>316</v>
      </c>
      <c r="BL34" s="98" t="s">
        <v>316</v>
      </c>
    </row>
    <row r="35" spans="1:64" ht="15" thickBot="1" x14ac:dyDescent="0.35">
      <c r="B35" s="95" t="s">
        <v>4</v>
      </c>
      <c r="C35" s="95" t="s">
        <v>5</v>
      </c>
      <c r="D35" s="111">
        <v>6558.3052749999988</v>
      </c>
      <c r="E35" s="119">
        <v>6414.710567000001</v>
      </c>
      <c r="F35" s="111">
        <v>6281.6386899999998</v>
      </c>
      <c r="G35" s="119">
        <v>7546.1141420000013</v>
      </c>
      <c r="H35" s="111">
        <v>9264.8362820000002</v>
      </c>
      <c r="I35" s="119">
        <v>8980.4142399999982</v>
      </c>
      <c r="J35" s="111">
        <v>11905.617623000004</v>
      </c>
      <c r="K35" s="119">
        <v>13716.254757999999</v>
      </c>
      <c r="L35" s="111">
        <v>16324.202993999999</v>
      </c>
      <c r="M35" s="119">
        <v>24087.058890999997</v>
      </c>
      <c r="N35" s="111">
        <v>24058</v>
      </c>
      <c r="O35" s="119">
        <v>24465</v>
      </c>
      <c r="P35" s="111">
        <v>25538</v>
      </c>
      <c r="Q35" s="119">
        <v>25768.705000000002</v>
      </c>
      <c r="R35" s="111">
        <v>26335</v>
      </c>
      <c r="S35" s="119">
        <f>+'éves P&amp;L_mérleg'!K6</f>
        <v>31065.255000000001</v>
      </c>
      <c r="T35" s="111">
        <v>30967.454000000002</v>
      </c>
      <c r="U35" s="119">
        <f>+'féléves P&amp;L_mérleg'!H54</f>
        <v>29983.1</v>
      </c>
      <c r="V35" s="111">
        <v>31287.958999999999</v>
      </c>
      <c r="W35" s="119">
        <v>31370.772000000001</v>
      </c>
      <c r="X35" s="111">
        <v>31096.152999999998</v>
      </c>
      <c r="Y35" s="119">
        <v>31029</v>
      </c>
      <c r="Z35" s="111">
        <v>32587.387999999999</v>
      </c>
      <c r="AA35" s="119">
        <v>34941.457000000002</v>
      </c>
      <c r="AB35" s="111">
        <v>35708</v>
      </c>
      <c r="AC35" s="119">
        <v>37925.5</v>
      </c>
      <c r="AD35" s="111">
        <v>39966.343000000001</v>
      </c>
      <c r="AE35" s="119">
        <v>43573</v>
      </c>
      <c r="AF35" s="111">
        <v>45162.406000000003</v>
      </c>
      <c r="AG35" s="119">
        <v>48541.233999999997</v>
      </c>
      <c r="AI35" s="111">
        <f>D35/$AS$45*1000</f>
        <v>19597.505677573583</v>
      </c>
      <c r="AJ35" s="119">
        <f>E35/$AS$45*1000</f>
        <v>19168.416455998809</v>
      </c>
      <c r="AK35" s="111">
        <f>F35/$AS$45*1000</f>
        <v>18770.771522486179</v>
      </c>
      <c r="AL35" s="119">
        <f>G35/$AS$45*1000</f>
        <v>22549.272798446142</v>
      </c>
      <c r="AM35" s="111">
        <f>H35/$AS$45*1000</f>
        <v>27685.152493650083</v>
      </c>
      <c r="AN35" s="119">
        <f>I35/$AS$45*1000</f>
        <v>26835.24350814283</v>
      </c>
      <c r="AO35" s="111">
        <f>J35/$AS$45*1000</f>
        <v>35576.326379799801</v>
      </c>
      <c r="AP35" s="119">
        <f>K35/$AS$45*1000</f>
        <v>40986.86615269685</v>
      </c>
      <c r="AQ35" s="111">
        <f>L35/$AS$45*1000</f>
        <v>48779.92826535186</v>
      </c>
      <c r="AR35" s="119">
        <f>M35/$AS$45*1000</f>
        <v>71976.86804422531</v>
      </c>
      <c r="AS35" s="111">
        <f>N35/$AS$45*1000</f>
        <v>71890.03436426117</v>
      </c>
      <c r="AT35" s="119">
        <f>O35/$AS$45*1000</f>
        <v>73106.230389959659</v>
      </c>
      <c r="AU35" s="111">
        <f>P35/$AW$32*1000</f>
        <v>70034.279446044151</v>
      </c>
      <c r="AV35" s="119">
        <f>Q35/$AW$32*1000</f>
        <v>70666.954614013448</v>
      </c>
      <c r="AW35" s="111">
        <f>R35/$AW$32*1000</f>
        <v>72219.936925819289</v>
      </c>
      <c r="AX35" s="119">
        <f>S35/AX$32*1000</f>
        <v>85079.985210746861</v>
      </c>
      <c r="AY35" s="111">
        <f>T35/AY$32*1000</f>
        <v>85138.575316855902</v>
      </c>
      <c r="AZ35" s="119">
        <f>U35/AZ$32*1000</f>
        <v>85203.466894003985</v>
      </c>
      <c r="BA35" s="111">
        <f>V35/BA$32*1000</f>
        <v>86785.640186397432</v>
      </c>
      <c r="BB35" s="119">
        <f>W35/BB$32*1000</f>
        <v>85015.642276422761</v>
      </c>
      <c r="BC35" s="111">
        <f>X35/BC$32*1000</f>
        <v>84130.060602781232</v>
      </c>
      <c r="BD35" s="119">
        <f>Y35/BD$32*1000</f>
        <v>78207.939508506606</v>
      </c>
      <c r="BE35" s="111">
        <f>Z35/BE$32*1000</f>
        <v>77329.413160579948</v>
      </c>
      <c r="BF35" s="119">
        <f>AA35/BF$32*1000</f>
        <v>87299.080574640859</v>
      </c>
      <c r="BG35" s="111">
        <f>AB35/BG$32*1000</f>
        <v>93724.244730832826</v>
      </c>
      <c r="BH35" s="119">
        <f>AC35/BH$32*1000</f>
        <v>102189.25982809259</v>
      </c>
      <c r="BI35" s="111">
        <f>AD35/BI$32*1000</f>
        <v>102150.39744408947</v>
      </c>
      <c r="BJ35" s="119">
        <f>AE35/BJ$32*1000</f>
        <v>113833.01112910811</v>
      </c>
      <c r="BK35" s="111">
        <f>AF35/BK$32*1000</f>
        <v>114095.4601722962</v>
      </c>
      <c r="BL35" s="119">
        <f>AG35/BL$32*1000</f>
        <v>122842.55093002657</v>
      </c>
    </row>
    <row r="36" spans="1:64" ht="29.4" thickBot="1" x14ac:dyDescent="0.35">
      <c r="B36" s="95" t="s">
        <v>173</v>
      </c>
      <c r="C36" s="95" t="s">
        <v>27</v>
      </c>
      <c r="D36" s="114">
        <v>9012.5330919999997</v>
      </c>
      <c r="E36" s="122">
        <v>8405.1333379999996</v>
      </c>
      <c r="F36" s="114">
        <v>8474.491947999999</v>
      </c>
      <c r="G36" s="122">
        <v>9048.883253</v>
      </c>
      <c r="H36" s="114">
        <v>7628.5977700000003</v>
      </c>
      <c r="I36" s="122">
        <v>6946.6078729999999</v>
      </c>
      <c r="J36" s="114">
        <v>7752.4946860000018</v>
      </c>
      <c r="K36" s="122">
        <v>9142.8433459999997</v>
      </c>
      <c r="L36" s="114">
        <v>9461.3970979999995</v>
      </c>
      <c r="M36" s="122">
        <v>9124.4046550000003</v>
      </c>
      <c r="N36" s="114">
        <v>9121</v>
      </c>
      <c r="O36" s="122">
        <v>13211</v>
      </c>
      <c r="P36" s="114">
        <v>14068</v>
      </c>
      <c r="Q36" s="122">
        <v>12068.826999999999</v>
      </c>
      <c r="R36" s="114">
        <v>10852</v>
      </c>
      <c r="S36" s="122">
        <f>+'éves P&amp;L_mérleg'!K19</f>
        <v>13819.105</v>
      </c>
      <c r="T36" s="114">
        <v>14265.504999999999</v>
      </c>
      <c r="U36" s="122">
        <f>+'féléves P&amp;L_mérleg'!H67</f>
        <v>19112</v>
      </c>
      <c r="V36" s="114">
        <v>32826.106</v>
      </c>
      <c r="W36" s="122">
        <v>29389.975999999999</v>
      </c>
      <c r="X36" s="114">
        <v>35076.673000000003</v>
      </c>
      <c r="Y36" s="122">
        <v>35207</v>
      </c>
      <c r="Z36" s="114">
        <v>54200.688000000002</v>
      </c>
      <c r="AA36" s="122">
        <v>65078.936999999998</v>
      </c>
      <c r="AB36" s="114">
        <v>54099.527000000002</v>
      </c>
      <c r="AC36" s="122">
        <v>45198</v>
      </c>
      <c r="AD36" s="114">
        <v>45103.73</v>
      </c>
      <c r="AE36" s="122">
        <v>48405</v>
      </c>
      <c r="AF36" s="114">
        <v>46780.027000000002</v>
      </c>
      <c r="AG36" s="122">
        <v>34140.769999999997</v>
      </c>
      <c r="AI36" s="114">
        <f>D36/$AS$45*1000</f>
        <v>26931.220953234726</v>
      </c>
      <c r="AJ36" s="122">
        <f>E36/$AS$45*1000</f>
        <v>25116.191059315704</v>
      </c>
      <c r="AK36" s="114">
        <f>F36/$AS$45*1000</f>
        <v>25323.448223517105</v>
      </c>
      <c r="AL36" s="122">
        <f>G36/$AS$45*1000</f>
        <v>27039.842381592709</v>
      </c>
      <c r="AM36" s="114">
        <f>H36/$AS$45*1000</f>
        <v>22795.750097116394</v>
      </c>
      <c r="AN36" s="122">
        <f>I36/$AS$45*1000</f>
        <v>20757.830189750486</v>
      </c>
      <c r="AO36" s="114">
        <f>J36/$AS$45*1000</f>
        <v>23165.978443149565</v>
      </c>
      <c r="AP36" s="122">
        <f>K36/$AS$45*1000</f>
        <v>27320.613614223817</v>
      </c>
      <c r="AQ36" s="114">
        <f>L36/$AS$45*1000</f>
        <v>28272.514860301806</v>
      </c>
      <c r="AR36" s="122">
        <f>M36/$AS$45*1000</f>
        <v>27265.515180038848</v>
      </c>
      <c r="AS36" s="114">
        <f>N36/$AS$45*1000</f>
        <v>27255.341401464219</v>
      </c>
      <c r="AT36" s="122">
        <f>O36/$AS$45*1000</f>
        <v>39477.065590915881</v>
      </c>
      <c r="AU36" s="114">
        <f>P36/$AW$32*1000</f>
        <v>38579.459755930344</v>
      </c>
      <c r="AV36" s="122">
        <f>Q36/$AW$32*1000</f>
        <v>33097.016317016321</v>
      </c>
      <c r="AW36" s="114">
        <f>R36/$AW$32*1000</f>
        <v>29760.04387769094</v>
      </c>
      <c r="AX36" s="122">
        <f>S36/AX$32*1000</f>
        <v>37847.08186125489</v>
      </c>
      <c r="AY36" s="114">
        <f>T36/AY$32*1000</f>
        <v>39220.039589805623</v>
      </c>
      <c r="AZ36" s="122">
        <f>U36/AZ$32*1000</f>
        <v>54310.883773799374</v>
      </c>
      <c r="BA36" s="114">
        <f>V36/BA$32*1000</f>
        <v>91052.108066126704</v>
      </c>
      <c r="BB36" s="122">
        <f>W36/BB$32*1000</f>
        <v>79647.631436314361</v>
      </c>
      <c r="BC36" s="114">
        <f>X36/BC$32*1000</f>
        <v>94899.283047454141</v>
      </c>
      <c r="BD36" s="122">
        <f>Y36/BD$32*1000</f>
        <v>88738.500315059864</v>
      </c>
      <c r="BE36" s="114">
        <f>Z36/BE$32*1000</f>
        <v>128617.46992240335</v>
      </c>
      <c r="BF36" s="122">
        <f>AA36/BF$32*1000</f>
        <v>162595.72017489068</v>
      </c>
      <c r="BG36" s="114">
        <f>AB36/BG$32*1000</f>
        <v>141997.23614793038</v>
      </c>
      <c r="BH36" s="122">
        <f>AC36/BH$32*1000</f>
        <v>121784.81933554281</v>
      </c>
      <c r="BI36" s="114">
        <f>AD36/BI$32*1000</f>
        <v>115281.09904153355</v>
      </c>
      <c r="BJ36" s="122">
        <f>AE36/BJ$32*1000</f>
        <v>126456.4501802602</v>
      </c>
      <c r="BK36" s="114">
        <f>AF36/BK$32*1000</f>
        <v>118182.11605992472</v>
      </c>
      <c r="BL36" s="122">
        <f>AG36/BL$32*1000</f>
        <v>86399.519169935462</v>
      </c>
    </row>
    <row r="37" spans="1:64" x14ac:dyDescent="0.3">
      <c r="B37" s="94" t="s">
        <v>489</v>
      </c>
      <c r="C37" s="94" t="s">
        <v>472</v>
      </c>
      <c r="D37" s="337"/>
      <c r="E37" s="338"/>
      <c r="F37" s="337"/>
      <c r="G37" s="338"/>
      <c r="H37" s="337"/>
      <c r="I37" s="338"/>
      <c r="J37" s="337"/>
      <c r="K37" s="338"/>
      <c r="L37" s="337"/>
      <c r="M37" s="338"/>
      <c r="N37" s="337"/>
      <c r="O37" s="338"/>
      <c r="P37" s="337"/>
      <c r="Q37" s="338"/>
      <c r="R37" s="337"/>
      <c r="S37" s="338"/>
      <c r="T37" s="337"/>
      <c r="U37" s="338"/>
      <c r="V37" s="337"/>
      <c r="W37" s="339">
        <v>5831</v>
      </c>
      <c r="X37" s="340"/>
      <c r="Y37" s="339">
        <v>10594</v>
      </c>
      <c r="Z37" s="340">
        <v>13889.777011</v>
      </c>
      <c r="AA37" s="339">
        <v>2598.0557640000002</v>
      </c>
      <c r="AB37" s="340">
        <v>1432.705492</v>
      </c>
      <c r="AC37" s="339">
        <v>2033</v>
      </c>
      <c r="AD37" s="340">
        <v>1178.2959049999999</v>
      </c>
      <c r="AE37" s="339">
        <v>877</v>
      </c>
      <c r="AF37" s="340">
        <v>823.087762</v>
      </c>
      <c r="AG37" s="339">
        <v>638.84568800000011</v>
      </c>
      <c r="AI37" s="340"/>
      <c r="AJ37" s="339"/>
      <c r="AK37" s="340"/>
      <c r="AL37" s="339"/>
      <c r="AM37" s="340"/>
      <c r="AN37" s="339"/>
      <c r="AO37" s="340"/>
      <c r="AP37" s="339"/>
      <c r="AQ37" s="340"/>
      <c r="AR37" s="339"/>
      <c r="AS37" s="340"/>
      <c r="AT37" s="339"/>
      <c r="AU37" s="340"/>
      <c r="AV37" s="339"/>
      <c r="AW37" s="340"/>
      <c r="AX37" s="339"/>
      <c r="AY37" s="340"/>
      <c r="AZ37" s="339"/>
      <c r="BA37" s="340"/>
      <c r="BB37" s="339"/>
      <c r="BC37" s="340"/>
      <c r="BD37" s="339">
        <f>Y37/BD$32*1000</f>
        <v>26701.953371140517</v>
      </c>
      <c r="BE37" s="340">
        <f>Z37/BE$32*1000</f>
        <v>32960.245392847813</v>
      </c>
      <c r="BF37" s="339">
        <f>AA37/BF$32*1000</f>
        <v>6491.0824834478453</v>
      </c>
      <c r="BG37" s="340">
        <f>AB37/BG$32*1000</f>
        <v>3760.480569043807</v>
      </c>
      <c r="BH37" s="339">
        <f>AC37/BH$32*1000</f>
        <v>5477.8648990919619</v>
      </c>
      <c r="BI37" s="340">
        <f t="shared" ref="BI37:BI41" si="47">AD37/BI$32*1000</f>
        <v>3011.6189265175717</v>
      </c>
      <c r="BJ37" s="339">
        <f>AE37/BJ$32*1000</f>
        <v>2291.1332880505774</v>
      </c>
      <c r="BK37" s="340">
        <f>AF37/BK$32*1000</f>
        <v>2079.3971199757475</v>
      </c>
      <c r="BL37" s="339">
        <f>AG37/BL$32*1000</f>
        <v>1616.7169125648491</v>
      </c>
    </row>
    <row r="38" spans="1:64" x14ac:dyDescent="0.3">
      <c r="B38" s="94" t="s">
        <v>490</v>
      </c>
      <c r="C38" s="94" t="s">
        <v>495</v>
      </c>
      <c r="D38" s="115">
        <v>4310.0533619999997</v>
      </c>
      <c r="E38" s="123">
        <v>2644.3591240000001</v>
      </c>
      <c r="F38" s="115">
        <v>2689.4344040000001</v>
      </c>
      <c r="G38" s="123">
        <v>2825.6977069999998</v>
      </c>
      <c r="H38" s="115">
        <v>1799.4891869999999</v>
      </c>
      <c r="I38" s="123">
        <v>1343.0653239999999</v>
      </c>
      <c r="J38" s="115">
        <v>1279.6907329999999</v>
      </c>
      <c r="K38" s="123">
        <v>2561.2183420000001</v>
      </c>
      <c r="L38" s="115">
        <v>3573.626659</v>
      </c>
      <c r="M38" s="123">
        <v>2332.786779</v>
      </c>
      <c r="N38" s="115">
        <v>3564</v>
      </c>
      <c r="O38" s="123">
        <v>4897</v>
      </c>
      <c r="P38" s="115">
        <v>3619</v>
      </c>
      <c r="Q38" s="123">
        <v>3968</v>
      </c>
      <c r="R38" s="115">
        <v>2848</v>
      </c>
      <c r="S38" s="123">
        <f>+'éves P&amp;L_mérleg'!K27</f>
        <v>3455.0450000000001</v>
      </c>
      <c r="T38" s="115">
        <v>4250.3379999999997</v>
      </c>
      <c r="U38" s="123">
        <f>+'féléves P&amp;L_mérleg'!H75</f>
        <v>7154</v>
      </c>
      <c r="V38" s="115">
        <v>9675.875</v>
      </c>
      <c r="W38" s="123">
        <v>3679.2530000000002</v>
      </c>
      <c r="X38" s="115">
        <v>4039.4859999999999</v>
      </c>
      <c r="Y38" s="123">
        <v>7871</v>
      </c>
      <c r="Z38" s="115">
        <v>13280.556</v>
      </c>
      <c r="AA38" s="123">
        <v>16465</v>
      </c>
      <c r="AB38" s="115">
        <v>26215.137999999999</v>
      </c>
      <c r="AC38" s="123">
        <v>25074</v>
      </c>
      <c r="AD38" s="115">
        <v>25824.062000000002</v>
      </c>
      <c r="AE38" s="123">
        <v>24345</v>
      </c>
      <c r="AF38" s="115">
        <v>17387.924999999999</v>
      </c>
      <c r="AG38" s="123">
        <v>10693.566000000001</v>
      </c>
      <c r="AI38" s="115">
        <f>D38/$AS$45*1000</f>
        <v>12879.286902734199</v>
      </c>
      <c r="AJ38" s="123">
        <f>E38/$AS$45*1000</f>
        <v>7901.8650052293451</v>
      </c>
      <c r="AK38" s="115">
        <f>F38/$AS$45*1000</f>
        <v>8036.5588047213523</v>
      </c>
      <c r="AL38" s="123">
        <f>G38/$AS$45*1000</f>
        <v>8443.7403466308078</v>
      </c>
      <c r="AM38" s="115">
        <f>H38/$AS$45*1000</f>
        <v>5377.2275123263116</v>
      </c>
      <c r="AN38" s="123">
        <f>I38/$AS$45*1000</f>
        <v>4013.3432660989092</v>
      </c>
      <c r="AO38" s="115">
        <f>J38/$AS$45*1000</f>
        <v>3823.9675272672944</v>
      </c>
      <c r="AP38" s="123">
        <f>K38/$AS$45*1000</f>
        <v>7653.4240011952797</v>
      </c>
      <c r="AQ38" s="115">
        <f>L38/$AS$45*1000</f>
        <v>10678.6991154938</v>
      </c>
      <c r="AR38" s="123">
        <f>M38/$AS$45*1000</f>
        <v>6970.825575974899</v>
      </c>
      <c r="AS38" s="115">
        <f>N38/$AS$45*1000</f>
        <v>10649.932765575975</v>
      </c>
      <c r="AT38" s="123">
        <f>O38/$AS$45*1000</f>
        <v>14633.198864485283</v>
      </c>
      <c r="AU38" s="115">
        <f>P38/$AW$32*1000</f>
        <v>9924.5852187028668</v>
      </c>
      <c r="AV38" s="123">
        <f>Q38/$AW$32*1000</f>
        <v>10881.667352255588</v>
      </c>
      <c r="AW38" s="115">
        <f>R38/$AW$32*1000</f>
        <v>7810.2289866995761</v>
      </c>
      <c r="AX38" s="123">
        <f>S38/AX$32*1000</f>
        <v>9462.5065045326319</v>
      </c>
      <c r="AY38" s="115">
        <f>T38/AY$32*1000</f>
        <v>11685.420504220161</v>
      </c>
      <c r="AZ38" s="123">
        <f>U38/AZ$32*1000</f>
        <v>20329.63910201762</v>
      </c>
      <c r="BA38" s="115">
        <f>V38/BA$32*1000</f>
        <v>26838.663597026516</v>
      </c>
      <c r="BB38" s="123">
        <f>W38/BB$32*1000</f>
        <v>9970.875338753387</v>
      </c>
      <c r="BC38" s="115">
        <f>X38/BC$32*1000</f>
        <v>10928.753855310859</v>
      </c>
      <c r="BD38" s="123">
        <f>Y38/BD$32*1000</f>
        <v>19838.689350976685</v>
      </c>
      <c r="BE38" s="115">
        <f>Z38/BE$32*1000</f>
        <v>31514.572506585035</v>
      </c>
      <c r="BF38" s="123">
        <f>AA38/BF$32*1000</f>
        <v>41136.789506558402</v>
      </c>
      <c r="BG38" s="115">
        <f>AB38/BG$32*1000</f>
        <v>68807.94246568151</v>
      </c>
      <c r="BH38" s="123">
        <f>AC38/BH$32*1000</f>
        <v>67561.23191334572</v>
      </c>
      <c r="BI38" s="115">
        <f t="shared" si="47"/>
        <v>66003.992332268375</v>
      </c>
      <c r="BJ38" s="123">
        <f>AE38/BJ$32*1000</f>
        <v>63600.501593604684</v>
      </c>
      <c r="BK38" s="115">
        <f>AF38/BK$32*1000</f>
        <v>43927.759391658037</v>
      </c>
      <c r="BL38" s="123">
        <f>AG38/BL$32*1000</f>
        <v>27062.042262431991</v>
      </c>
    </row>
    <row r="39" spans="1:64" x14ac:dyDescent="0.3">
      <c r="B39" s="94" t="s">
        <v>513</v>
      </c>
      <c r="C39" s="94" t="s">
        <v>514</v>
      </c>
      <c r="D39" s="115"/>
      <c r="E39" s="123"/>
      <c r="F39" s="115"/>
      <c r="G39" s="123"/>
      <c r="H39" s="115"/>
      <c r="I39" s="123"/>
      <c r="J39" s="115"/>
      <c r="K39" s="123"/>
      <c r="L39" s="115"/>
      <c r="M39" s="123"/>
      <c r="N39" s="115"/>
      <c r="O39" s="123"/>
      <c r="P39" s="115"/>
      <c r="Q39" s="123"/>
      <c r="R39" s="115"/>
      <c r="S39" s="123"/>
      <c r="T39" s="115"/>
      <c r="U39" s="123"/>
      <c r="V39" s="115"/>
      <c r="W39" s="123"/>
      <c r="X39" s="115"/>
      <c r="Y39" s="123"/>
      <c r="Z39" s="115"/>
      <c r="AA39" s="123">
        <v>1779</v>
      </c>
      <c r="AB39" s="115"/>
      <c r="AC39" s="123">
        <v>1196</v>
      </c>
      <c r="AD39" s="115">
        <v>1039.03</v>
      </c>
      <c r="AE39" s="123">
        <v>2041</v>
      </c>
      <c r="AF39" s="115">
        <v>3607.8009999999999</v>
      </c>
      <c r="AG39" s="123">
        <v>1145.8009999999999</v>
      </c>
      <c r="AI39" s="115"/>
      <c r="AJ39" s="123"/>
      <c r="AK39" s="115"/>
      <c r="AL39" s="123"/>
      <c r="AM39" s="115"/>
      <c r="AN39" s="123"/>
      <c r="AO39" s="115"/>
      <c r="AP39" s="123"/>
      <c r="AQ39" s="115"/>
      <c r="AR39" s="123"/>
      <c r="AS39" s="115"/>
      <c r="AT39" s="123"/>
      <c r="AU39" s="115"/>
      <c r="AV39" s="123"/>
      <c r="AW39" s="115"/>
      <c r="AX39" s="123"/>
      <c r="AY39" s="115"/>
      <c r="AZ39" s="123"/>
      <c r="BA39" s="115"/>
      <c r="BB39" s="123"/>
      <c r="BC39" s="115"/>
      <c r="BD39" s="123"/>
      <c r="BE39" s="115"/>
      <c r="BF39" s="123">
        <f>AA39/BF$32*1000</f>
        <v>4444.7220487195509</v>
      </c>
      <c r="BG39" s="115">
        <f>AB39/BG$32*1000</f>
        <v>0</v>
      </c>
      <c r="BH39" s="123">
        <f>AC39/BH$32*1000</f>
        <v>3222.5904669522811</v>
      </c>
      <c r="BI39" s="115">
        <f t="shared" si="47"/>
        <v>2655.6677316293926</v>
      </c>
      <c r="BJ39" s="123">
        <f>AE39/BJ$32*1000</f>
        <v>5332.0445164324155</v>
      </c>
      <c r="BK39" s="115">
        <f>AF39/BK$32*1000</f>
        <v>9114.5213854432459</v>
      </c>
      <c r="BL39" s="123">
        <f>AG39/BL$32*1000</f>
        <v>2899.6608882702772</v>
      </c>
    </row>
    <row r="40" spans="1:64" ht="28.8" x14ac:dyDescent="0.3">
      <c r="B40" s="94" t="s">
        <v>491</v>
      </c>
      <c r="C40" s="94" t="s">
        <v>493</v>
      </c>
      <c r="D40" s="115"/>
      <c r="E40" s="123"/>
      <c r="F40" s="115"/>
      <c r="G40" s="123"/>
      <c r="H40" s="115"/>
      <c r="I40" s="123"/>
      <c r="J40" s="115"/>
      <c r="K40" s="123"/>
      <c r="L40" s="115"/>
      <c r="M40" s="123"/>
      <c r="N40" s="115"/>
      <c r="O40" s="123"/>
      <c r="P40" s="115"/>
      <c r="Q40" s="123"/>
      <c r="R40" s="115"/>
      <c r="S40" s="123"/>
      <c r="T40" s="115"/>
      <c r="U40" s="123"/>
      <c r="V40" s="115"/>
      <c r="W40" s="123"/>
      <c r="X40" s="115"/>
      <c r="Y40" s="123"/>
      <c r="Z40" s="115"/>
      <c r="AA40" s="123">
        <v>31384.121868000002</v>
      </c>
      <c r="AB40" s="115"/>
      <c r="AC40" s="123">
        <v>11510</v>
      </c>
      <c r="AD40" s="115">
        <v>10738.636758000001</v>
      </c>
      <c r="AE40" s="123">
        <v>15560</v>
      </c>
      <c r="AF40" s="115">
        <v>16547.269297999999</v>
      </c>
      <c r="AG40" s="123">
        <v>15711.675068</v>
      </c>
      <c r="AI40" s="115"/>
      <c r="AJ40" s="123"/>
      <c r="AK40" s="115"/>
      <c r="AL40" s="123"/>
      <c r="AM40" s="115"/>
      <c r="AN40" s="123"/>
      <c r="AO40" s="115"/>
      <c r="AP40" s="123"/>
      <c r="AQ40" s="115"/>
      <c r="AR40" s="123"/>
      <c r="AS40" s="115"/>
      <c r="AT40" s="123"/>
      <c r="AU40" s="115"/>
      <c r="AV40" s="123"/>
      <c r="AW40" s="115"/>
      <c r="AX40" s="123"/>
      <c r="AY40" s="115"/>
      <c r="AZ40" s="123"/>
      <c r="BA40" s="115"/>
      <c r="BB40" s="123"/>
      <c r="BC40" s="115"/>
      <c r="BD40" s="123"/>
      <c r="BE40" s="115"/>
      <c r="BF40" s="123">
        <f>AA40/BF$32*1000</f>
        <v>78411.297608994384</v>
      </c>
      <c r="BG40" s="115">
        <f>AB40/BG$32*1000</f>
        <v>0</v>
      </c>
      <c r="BH40" s="123">
        <f>AC40/BH$32*1000</f>
        <v>31013.391533963841</v>
      </c>
      <c r="BI40" s="115">
        <f t="shared" si="47"/>
        <v>27446.994908626199</v>
      </c>
      <c r="BJ40" s="123">
        <f>AE40/BJ$32*1000</f>
        <v>40649.981712733163</v>
      </c>
      <c r="BK40" s="115">
        <f>AF40/BK$32*1000</f>
        <v>41803.979733724067</v>
      </c>
      <c r="BL40" s="123">
        <f>AG40/BL$32*1000</f>
        <v>39761.293351891691</v>
      </c>
    </row>
    <row r="41" spans="1:64" ht="15" thickBot="1" x14ac:dyDescent="0.35">
      <c r="B41" s="94" t="s">
        <v>492</v>
      </c>
      <c r="C41" s="94" t="s">
        <v>494</v>
      </c>
      <c r="D41" s="115"/>
      <c r="E41" s="123"/>
      <c r="F41" s="115"/>
      <c r="G41" s="123"/>
      <c r="H41" s="115"/>
      <c r="I41" s="123"/>
      <c r="J41" s="115"/>
      <c r="K41" s="123"/>
      <c r="L41" s="115"/>
      <c r="M41" s="123"/>
      <c r="N41" s="115"/>
      <c r="O41" s="123"/>
      <c r="P41" s="115"/>
      <c r="Q41" s="123"/>
      <c r="R41" s="115"/>
      <c r="S41" s="123"/>
      <c r="T41" s="115"/>
      <c r="U41" s="123"/>
      <c r="V41" s="115"/>
      <c r="W41" s="123"/>
      <c r="X41" s="115"/>
      <c r="Y41" s="123"/>
      <c r="Z41" s="115"/>
      <c r="AA41" s="123">
        <v>12852.759367999992</v>
      </c>
      <c r="AB41" s="115">
        <v>5582.206514999998</v>
      </c>
      <c r="AC41" s="123">
        <v>5385</v>
      </c>
      <c r="AD41" s="115">
        <v>6323.7053369999994</v>
      </c>
      <c r="AE41" s="123">
        <v>5582</v>
      </c>
      <c r="AF41" s="115">
        <v>8413.9439400000047</v>
      </c>
      <c r="AG41" s="123">
        <v>5950.8822439999967</v>
      </c>
      <c r="AI41" s="115"/>
      <c r="AJ41" s="123"/>
      <c r="AK41" s="115"/>
      <c r="AL41" s="123"/>
      <c r="AM41" s="115"/>
      <c r="AN41" s="123"/>
      <c r="AO41" s="115"/>
      <c r="AP41" s="123"/>
      <c r="AQ41" s="115"/>
      <c r="AR41" s="123"/>
      <c r="AS41" s="115"/>
      <c r="AT41" s="123"/>
      <c r="AU41" s="115"/>
      <c r="AV41" s="123"/>
      <c r="AW41" s="115"/>
      <c r="AX41" s="123"/>
      <c r="AY41" s="115"/>
      <c r="AZ41" s="123"/>
      <c r="BA41" s="115"/>
      <c r="BB41" s="123"/>
      <c r="BC41" s="115"/>
      <c r="BD41" s="123"/>
      <c r="BE41" s="115"/>
      <c r="BF41" s="123">
        <f>AA41/BF$32*1000</f>
        <v>32111.828527170495</v>
      </c>
      <c r="BG41" s="115">
        <f>AB41/BG$32*1000</f>
        <v>14651.845232158319</v>
      </c>
      <c r="BH41" s="123">
        <f>AC41/BH$32*1000</f>
        <v>14509.740522188989</v>
      </c>
      <c r="BI41" s="115">
        <f t="shared" si="47"/>
        <v>16162.825142492011</v>
      </c>
      <c r="BJ41" s="123">
        <f>AE41/BJ$32*1000</f>
        <v>14582.789069439366</v>
      </c>
      <c r="BK41" s="115">
        <f>AF41/BK$32*1000</f>
        <v>21256.458429123624</v>
      </c>
      <c r="BL41" s="123">
        <f>AG41/BL$32*1000</f>
        <v>15059.80575477666</v>
      </c>
    </row>
    <row r="42" spans="1:64" ht="15.6" thickTop="1" thickBot="1" x14ac:dyDescent="0.35">
      <c r="B42" s="96" t="s">
        <v>42</v>
      </c>
      <c r="C42" s="96" t="s">
        <v>43</v>
      </c>
      <c r="D42" s="116">
        <f t="shared" ref="D42:M42" si="48">D36+D35</f>
        <v>15570.838366999998</v>
      </c>
      <c r="E42" s="124">
        <f t="shared" si="48"/>
        <v>14819.843905000002</v>
      </c>
      <c r="F42" s="116">
        <f t="shared" si="48"/>
        <v>14756.130637999999</v>
      </c>
      <c r="G42" s="124">
        <f t="shared" si="48"/>
        <v>16594.997395000002</v>
      </c>
      <c r="H42" s="116">
        <f t="shared" si="48"/>
        <v>16893.434052000001</v>
      </c>
      <c r="I42" s="124">
        <f t="shared" si="48"/>
        <v>15927.022112999999</v>
      </c>
      <c r="J42" s="116">
        <f t="shared" si="48"/>
        <v>19658.112309000004</v>
      </c>
      <c r="K42" s="124">
        <f t="shared" si="48"/>
        <v>22859.098103999997</v>
      </c>
      <c r="L42" s="116">
        <f t="shared" si="48"/>
        <v>25785.600092000001</v>
      </c>
      <c r="M42" s="124">
        <f t="shared" si="48"/>
        <v>33211.463545999999</v>
      </c>
      <c r="N42" s="116">
        <v>33179</v>
      </c>
      <c r="O42" s="116">
        <f>O36+O35</f>
        <v>37676</v>
      </c>
      <c r="P42" s="116">
        <v>39606</v>
      </c>
      <c r="Q42" s="124">
        <v>37878</v>
      </c>
      <c r="R42" s="116">
        <v>37187</v>
      </c>
      <c r="S42" s="124">
        <f>+'éves P&amp;L_mérleg'!K32</f>
        <v>44884.36</v>
      </c>
      <c r="T42" s="116">
        <v>45233</v>
      </c>
      <c r="U42" s="124">
        <f>+'féléves P&amp;L_mérleg'!H79</f>
        <v>49095.1</v>
      </c>
      <c r="V42" s="116">
        <v>64114.065000000002</v>
      </c>
      <c r="W42" s="124">
        <v>60760.748</v>
      </c>
      <c r="X42" s="116">
        <v>66172.826000000001</v>
      </c>
      <c r="Y42" s="124">
        <v>66236</v>
      </c>
      <c r="Z42" s="116">
        <v>86788</v>
      </c>
      <c r="AA42" s="124">
        <v>100020.394</v>
      </c>
      <c r="AB42" s="116">
        <v>89807.396999999997</v>
      </c>
      <c r="AC42" s="124">
        <v>83124</v>
      </c>
      <c r="AD42" s="116">
        <v>85070</v>
      </c>
      <c r="AE42" s="124">
        <v>91978</v>
      </c>
      <c r="AF42" s="116">
        <v>91942.433000000005</v>
      </c>
      <c r="AG42" s="124">
        <v>82682.003999999986</v>
      </c>
      <c r="AI42" s="116">
        <f>D42/$AS$45*1000</f>
        <v>46528.726630808305</v>
      </c>
      <c r="AJ42" s="124">
        <f>E42/$AS$45*1000</f>
        <v>44284.607515314514</v>
      </c>
      <c r="AK42" s="116">
        <f>F42/$AS$45*1000</f>
        <v>44094.219746003284</v>
      </c>
      <c r="AL42" s="124">
        <f>G42/$AS$45*1000</f>
        <v>49589.115180038862</v>
      </c>
      <c r="AM42" s="116">
        <f>H42/$AS$45*1000</f>
        <v>50480.902590766476</v>
      </c>
      <c r="AN42" s="124">
        <f>I42/$AS$45*1000</f>
        <v>47593.073697893327</v>
      </c>
      <c r="AO42" s="116">
        <f>J42/$AS$45*1000</f>
        <v>58742.304822949365</v>
      </c>
      <c r="AP42" s="124">
        <f>K42/$AS$45*1000</f>
        <v>68307.47976692066</v>
      </c>
      <c r="AQ42" s="116">
        <f>L42/$AS$45*1000</f>
        <v>77052.443125653677</v>
      </c>
      <c r="AR42" s="124">
        <f>M42/$AS$45*1000</f>
        <v>99242.383224264166</v>
      </c>
      <c r="AS42" s="116">
        <f>N42/$AS$45*1000</f>
        <v>99145.375765725388</v>
      </c>
      <c r="AT42" s="124">
        <f>O42/$AS$45*1000</f>
        <v>112583.29598087554</v>
      </c>
      <c r="AU42" s="116">
        <f>P42/$AW$32*1000</f>
        <v>108613.7392019745</v>
      </c>
      <c r="AV42" s="124">
        <f>Q42/$AW$32*1000</f>
        <v>103874.94858083094</v>
      </c>
      <c r="AW42" s="116">
        <f>R42/$AW$32*1000</f>
        <v>101979.98080351022</v>
      </c>
      <c r="AX42" s="124">
        <f>S42/AX$32*1000</f>
        <v>122927.06707200177</v>
      </c>
      <c r="AY42" s="116">
        <f>T42/AY$32*1000</f>
        <v>124358.72762763588</v>
      </c>
      <c r="AZ42" s="124">
        <f>U42/AZ$32*1000</f>
        <v>139514.35066780337</v>
      </c>
      <c r="BA42" s="116">
        <f>V42/BA$32*1000</f>
        <v>177837.74825252415</v>
      </c>
      <c r="BB42" s="124">
        <f>W42/BB$32*1000</f>
        <v>164663.27371273714</v>
      </c>
      <c r="BC42" s="116">
        <f>X42/BC$32*1000</f>
        <v>179029.34365023539</v>
      </c>
      <c r="BD42" s="124">
        <f>Y42/BD$32*1000</f>
        <v>166946.43982356647</v>
      </c>
      <c r="BE42" s="116">
        <f>Z42/BE$32*1000</f>
        <v>205946.70273605277</v>
      </c>
      <c r="BF42" s="124">
        <f>AA42/BF$32*1000</f>
        <v>249894.80074953157</v>
      </c>
      <c r="BG42" s="116">
        <f>AB42/BG$32*1000</f>
        <v>235721.1396624583</v>
      </c>
      <c r="BH42" s="124">
        <f>AC42/BH$32*1000</f>
        <v>223975.42640045268</v>
      </c>
      <c r="BI42" s="116">
        <f>AD42/BI$32*1000</f>
        <v>217431.30990415334</v>
      </c>
      <c r="BJ42" s="124">
        <f>AE42/BJ$32*1000</f>
        <v>240289.46130936834</v>
      </c>
      <c r="BK42" s="116">
        <f>AF42/BK$32*1000</f>
        <v>232277.57623222092</v>
      </c>
      <c r="BL42" s="124">
        <f>AG42/BL$32*1000</f>
        <v>209242.070099962</v>
      </c>
    </row>
    <row r="43" spans="1:64" ht="15" thickTop="1" x14ac:dyDescent="0.3">
      <c r="D43" s="110"/>
      <c r="E43" s="103"/>
      <c r="F43" s="137"/>
      <c r="G43" s="103"/>
      <c r="H43" s="137"/>
      <c r="I43" s="103"/>
      <c r="J43" s="137"/>
      <c r="K43" s="103"/>
      <c r="L43" s="137"/>
      <c r="M43" s="103"/>
      <c r="N43" s="137"/>
      <c r="O43" s="103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I43" s="138"/>
      <c r="AJ43" s="138"/>
      <c r="AK43" s="138"/>
      <c r="AL43" s="103"/>
      <c r="AM43" s="137"/>
      <c r="AN43" s="103"/>
      <c r="AO43" s="137"/>
      <c r="AP43" s="103"/>
      <c r="AQ43" s="137"/>
      <c r="AR43" s="103"/>
      <c r="AS43" s="137"/>
      <c r="AT43" s="103"/>
      <c r="AU43" s="137"/>
      <c r="AV43" s="103"/>
      <c r="AW43" s="137"/>
      <c r="AX43" s="103"/>
      <c r="AY43" s="137"/>
      <c r="AZ43" s="103"/>
      <c r="BA43" s="137"/>
      <c r="BB43" s="103"/>
      <c r="BC43" s="137"/>
      <c r="BD43" s="103"/>
      <c r="BE43" s="137"/>
      <c r="BF43" s="103"/>
      <c r="BG43" s="137"/>
      <c r="BH43" s="103"/>
      <c r="BI43" s="137"/>
      <c r="BJ43" s="103"/>
      <c r="BK43" s="137"/>
      <c r="BL43" s="103"/>
    </row>
    <row r="44" spans="1:64" ht="18" outlineLevel="1" x14ac:dyDescent="0.35">
      <c r="D44" s="110"/>
      <c r="E44" s="103"/>
      <c r="F44" s="137"/>
      <c r="G44" s="103"/>
      <c r="H44" s="137"/>
      <c r="I44" s="103"/>
      <c r="J44" s="137"/>
      <c r="K44" s="103"/>
      <c r="L44" s="137"/>
      <c r="M44" s="103"/>
      <c r="N44" s="137"/>
      <c r="O44" s="103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I44" s="421" t="s">
        <v>290</v>
      </c>
      <c r="AJ44" s="421"/>
      <c r="AL44" s="103"/>
      <c r="AM44" s="137"/>
      <c r="AN44" s="103"/>
      <c r="AO44" s="137"/>
      <c r="AP44" s="103"/>
      <c r="AQ44" s="137"/>
      <c r="AR44" s="103"/>
      <c r="AS44" s="137"/>
      <c r="AT44" s="103"/>
      <c r="AU44" s="137"/>
      <c r="AV44" s="103"/>
      <c r="AW44" s="137"/>
      <c r="AX44" s="103"/>
      <c r="AY44" s="137"/>
      <c r="AZ44" s="103"/>
      <c r="BA44" s="137"/>
      <c r="BB44" s="103"/>
      <c r="BC44" s="137"/>
      <c r="BD44" s="103"/>
      <c r="BE44" s="137"/>
      <c r="BF44" s="103"/>
      <c r="BG44" s="137"/>
      <c r="BH44" s="103"/>
      <c r="BI44" s="137"/>
      <c r="BJ44" s="103"/>
      <c r="BK44" s="137"/>
      <c r="BL44" s="103"/>
    </row>
    <row r="45" spans="1:64" outlineLevel="1" x14ac:dyDescent="0.3">
      <c r="D45" s="110"/>
      <c r="E45" s="103"/>
      <c r="F45" s="137"/>
      <c r="G45" s="103"/>
      <c r="H45" s="137"/>
      <c r="I45" s="103"/>
      <c r="J45" s="137"/>
      <c r="K45" s="103"/>
      <c r="L45" s="137"/>
      <c r="M45" s="103"/>
      <c r="N45" s="137"/>
      <c r="O45" s="103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I45" s="103">
        <f t="shared" ref="AI45:BI45" si="49">AI32</f>
        <v>308.7</v>
      </c>
      <c r="AJ45" s="178">
        <f t="shared" si="49"/>
        <v>308.87</v>
      </c>
      <c r="AK45" s="178">
        <f t="shared" si="49"/>
        <v>311.23</v>
      </c>
      <c r="AL45" s="178">
        <f t="shared" si="49"/>
        <v>311.02</v>
      </c>
      <c r="AM45" s="178">
        <f t="shared" si="49"/>
        <v>312.55</v>
      </c>
      <c r="AN45" s="178">
        <f t="shared" si="49"/>
        <v>328.6</v>
      </c>
      <c r="AO45" s="178">
        <f t="shared" si="49"/>
        <v>323.77999999999997</v>
      </c>
      <c r="AP45" s="178">
        <f t="shared" si="49"/>
        <v>310.14</v>
      </c>
      <c r="AQ45" s="178">
        <f t="shared" si="49"/>
        <v>320.79000000000002</v>
      </c>
      <c r="AR45" s="178">
        <f t="shared" si="49"/>
        <v>323.54000000000002</v>
      </c>
      <c r="AS45" s="178">
        <f t="shared" si="49"/>
        <v>334.65</v>
      </c>
      <c r="AT45" s="178">
        <f t="shared" si="49"/>
        <v>330.52</v>
      </c>
      <c r="AU45" s="178">
        <f t="shared" si="49"/>
        <v>359.09</v>
      </c>
      <c r="AV45" s="178">
        <f t="shared" si="49"/>
        <v>356.57</v>
      </c>
      <c r="AW45" s="178">
        <f t="shared" si="49"/>
        <v>364.65</v>
      </c>
      <c r="AX45" s="178">
        <f t="shared" si="49"/>
        <v>365.13</v>
      </c>
      <c r="AY45" s="178">
        <f t="shared" si="49"/>
        <v>363.73</v>
      </c>
      <c r="AZ45" s="178">
        <f t="shared" si="49"/>
        <v>351.9</v>
      </c>
      <c r="BA45" s="178">
        <f t="shared" si="49"/>
        <v>360.52</v>
      </c>
      <c r="BB45" s="178">
        <f t="shared" si="49"/>
        <v>369</v>
      </c>
      <c r="BC45" s="178">
        <f t="shared" si="49"/>
        <v>369.62</v>
      </c>
      <c r="BD45" s="178">
        <f t="shared" si="49"/>
        <v>396.75</v>
      </c>
      <c r="BE45" s="178">
        <f t="shared" si="49"/>
        <v>421.41</v>
      </c>
      <c r="BF45" s="178">
        <f t="shared" si="49"/>
        <v>400.25</v>
      </c>
      <c r="BG45" s="178">
        <f t="shared" si="49"/>
        <v>380.99</v>
      </c>
      <c r="BH45" s="178">
        <f t="shared" si="49"/>
        <v>371.13</v>
      </c>
      <c r="BI45" s="178">
        <f t="shared" si="49"/>
        <v>391.25</v>
      </c>
      <c r="BJ45" s="178">
        <f t="shared" ref="BJ45:BK45" si="50">BJ32</f>
        <v>382.78</v>
      </c>
      <c r="BK45" s="178">
        <f t="shared" si="50"/>
        <v>395.83</v>
      </c>
      <c r="BL45" s="178">
        <f t="shared" ref="BL45" si="51">BL32</f>
        <v>395.15</v>
      </c>
    </row>
    <row r="46" spans="1:64" outlineLevel="1" x14ac:dyDescent="0.3">
      <c r="B46" s="88"/>
      <c r="C46" s="88"/>
      <c r="D46" s="133">
        <v>42825</v>
      </c>
      <c r="E46" s="133">
        <v>42916</v>
      </c>
      <c r="F46" s="133">
        <v>43008</v>
      </c>
      <c r="G46" s="133">
        <v>43100</v>
      </c>
      <c r="H46" s="133">
        <v>43190</v>
      </c>
      <c r="I46" s="133">
        <v>43281</v>
      </c>
      <c r="J46" s="133">
        <v>43373</v>
      </c>
      <c r="K46" s="133">
        <v>43465</v>
      </c>
      <c r="L46" s="133">
        <v>43555</v>
      </c>
      <c r="M46" s="133">
        <v>43646</v>
      </c>
      <c r="N46" s="133">
        <v>43738</v>
      </c>
      <c r="O46" s="133">
        <v>43830</v>
      </c>
      <c r="P46" s="133">
        <v>43921</v>
      </c>
      <c r="Q46" s="133">
        <v>44012</v>
      </c>
      <c r="R46" s="133">
        <v>44104</v>
      </c>
      <c r="S46" s="133">
        <v>44196</v>
      </c>
      <c r="T46" s="133">
        <v>44286</v>
      </c>
      <c r="U46" s="133">
        <v>44377</v>
      </c>
      <c r="V46" s="133">
        <f>+V33</f>
        <v>44469</v>
      </c>
      <c r="W46" s="133">
        <f>+W33</f>
        <v>44561</v>
      </c>
      <c r="X46" s="133">
        <f>+X33</f>
        <v>44651</v>
      </c>
      <c r="Y46" s="133">
        <v>44742</v>
      </c>
      <c r="Z46" s="133">
        <v>44834</v>
      </c>
      <c r="AA46" s="133">
        <f>+AA33</f>
        <v>44926</v>
      </c>
      <c r="AB46" s="133">
        <f>+AB33</f>
        <v>45016</v>
      </c>
      <c r="AC46" s="133">
        <v>45107</v>
      </c>
      <c r="AD46" s="133">
        <f>+AD33</f>
        <v>45199</v>
      </c>
      <c r="AE46" s="133">
        <v>45291</v>
      </c>
      <c r="AF46" s="133">
        <f>+AF33</f>
        <v>45382</v>
      </c>
      <c r="AG46" s="133">
        <f>+AG33</f>
        <v>45473</v>
      </c>
      <c r="AH46" s="140"/>
      <c r="AI46" s="133">
        <f t="shared" ref="AI46:AS46" si="52">AI33</f>
        <v>42825</v>
      </c>
      <c r="AJ46" s="133">
        <f t="shared" si="52"/>
        <v>42916</v>
      </c>
      <c r="AK46" s="133">
        <f t="shared" si="52"/>
        <v>43008</v>
      </c>
      <c r="AL46" s="133">
        <f t="shared" si="52"/>
        <v>43100</v>
      </c>
      <c r="AM46" s="133">
        <f t="shared" si="52"/>
        <v>43190</v>
      </c>
      <c r="AN46" s="133">
        <f t="shared" si="52"/>
        <v>43281</v>
      </c>
      <c r="AO46" s="133">
        <f t="shared" si="52"/>
        <v>43373</v>
      </c>
      <c r="AP46" s="133">
        <f t="shared" si="52"/>
        <v>43465</v>
      </c>
      <c r="AQ46" s="133">
        <f t="shared" si="52"/>
        <v>43555</v>
      </c>
      <c r="AR46" s="133">
        <f t="shared" si="52"/>
        <v>43646</v>
      </c>
      <c r="AS46" s="133">
        <f t="shared" si="52"/>
        <v>43738</v>
      </c>
      <c r="AT46" s="133">
        <v>43830</v>
      </c>
      <c r="AU46" s="133" t="str">
        <f>+AU33</f>
        <v>2020 Q1</v>
      </c>
      <c r="AV46" s="133" t="str">
        <f>+AV33</f>
        <v>2020 Q2</v>
      </c>
      <c r="AW46" s="133" t="str">
        <f>+AW33</f>
        <v>2020 Q3</v>
      </c>
      <c r="AX46" s="133" t="s">
        <v>436</v>
      </c>
      <c r="AY46" s="133" t="s">
        <v>441</v>
      </c>
      <c r="AZ46" s="133" t="s">
        <v>457</v>
      </c>
      <c r="BA46" s="133" t="s">
        <v>458</v>
      </c>
      <c r="BB46" s="133" t="s">
        <v>458</v>
      </c>
      <c r="BC46" s="133" t="str">
        <f>+BC33</f>
        <v>2022 Q1</v>
      </c>
      <c r="BD46" s="133" t="s">
        <v>468</v>
      </c>
      <c r="BE46" s="133" t="s">
        <v>470</v>
      </c>
      <c r="BF46" s="133" t="str">
        <f>+BF33</f>
        <v>2022 Q4</v>
      </c>
      <c r="BG46" s="133" t="str">
        <f>+BG33</f>
        <v>2023 Q1</v>
      </c>
      <c r="BH46" s="133" t="s">
        <v>511</v>
      </c>
      <c r="BI46" s="133" t="str">
        <f>+BI33</f>
        <v>2023 Q3</v>
      </c>
      <c r="BJ46" s="133" t="str">
        <f>+BJ33</f>
        <v>2024 Q1</v>
      </c>
      <c r="BK46" s="133" t="str">
        <f>+BK33</f>
        <v>2024 Q1</v>
      </c>
      <c r="BL46" s="133" t="str">
        <f>+BL33</f>
        <v>2024H1</v>
      </c>
    </row>
    <row r="47" spans="1:64" ht="15" customHeight="1" outlineLevel="1" thickBot="1" x14ac:dyDescent="0.35">
      <c r="B47" s="88"/>
      <c r="C47" s="88"/>
      <c r="D47" s="131" t="s">
        <v>170</v>
      </c>
      <c r="E47" s="131" t="s">
        <v>170</v>
      </c>
      <c r="F47" s="131" t="s">
        <v>170</v>
      </c>
      <c r="G47" s="131" t="s">
        <v>170</v>
      </c>
      <c r="H47" s="131" t="s">
        <v>170</v>
      </c>
      <c r="I47" s="131" t="s">
        <v>170</v>
      </c>
      <c r="J47" s="131" t="s">
        <v>170</v>
      </c>
      <c r="K47" s="131" t="s">
        <v>170</v>
      </c>
      <c r="L47" s="131" t="s">
        <v>170</v>
      </c>
      <c r="M47" s="131" t="s">
        <v>170</v>
      </c>
      <c r="N47" s="131" t="s">
        <v>170</v>
      </c>
      <c r="O47" s="131" t="s">
        <v>437</v>
      </c>
      <c r="P47" s="131" t="s">
        <v>170</v>
      </c>
      <c r="Q47" s="131" t="s">
        <v>170</v>
      </c>
      <c r="R47" s="131" t="s">
        <v>170</v>
      </c>
      <c r="S47" s="131" t="s">
        <v>437</v>
      </c>
      <c r="T47" s="131" t="s">
        <v>170</v>
      </c>
      <c r="U47" s="131" t="s">
        <v>170</v>
      </c>
      <c r="V47" s="131" t="s">
        <v>170</v>
      </c>
      <c r="W47" s="131" t="s">
        <v>170</v>
      </c>
      <c r="X47" s="131" t="s">
        <v>170</v>
      </c>
      <c r="Y47" s="131" t="s">
        <v>170</v>
      </c>
      <c r="Z47" s="131" t="s">
        <v>170</v>
      </c>
      <c r="AA47" s="131" t="s">
        <v>437</v>
      </c>
      <c r="AB47" s="131" t="s">
        <v>170</v>
      </c>
      <c r="AC47" s="131" t="s">
        <v>170</v>
      </c>
      <c r="AD47" s="131" t="s">
        <v>170</v>
      </c>
      <c r="AE47" s="131" t="s">
        <v>437</v>
      </c>
      <c r="AF47" s="131" t="s">
        <v>170</v>
      </c>
      <c r="AG47" s="131" t="s">
        <v>170</v>
      </c>
      <c r="AH47" s="83"/>
      <c r="AI47" s="131" t="str">
        <f t="shared" ref="AI47:AS47" si="53">AI34</f>
        <v>not audited</v>
      </c>
      <c r="AJ47" s="131" t="str">
        <f t="shared" si="53"/>
        <v>not audited</v>
      </c>
      <c r="AK47" s="131" t="str">
        <f t="shared" si="53"/>
        <v>not audited</v>
      </c>
      <c r="AL47" s="131" t="str">
        <f t="shared" si="53"/>
        <v>not audited</v>
      </c>
      <c r="AM47" s="131" t="str">
        <f t="shared" si="53"/>
        <v>not audited</v>
      </c>
      <c r="AN47" s="131" t="str">
        <f t="shared" si="53"/>
        <v>not audited</v>
      </c>
      <c r="AO47" s="131" t="str">
        <f t="shared" si="53"/>
        <v>not audited</v>
      </c>
      <c r="AP47" s="131" t="str">
        <f t="shared" si="53"/>
        <v>not audited</v>
      </c>
      <c r="AQ47" s="131" t="str">
        <f t="shared" si="53"/>
        <v>not audited</v>
      </c>
      <c r="AR47" s="131" t="str">
        <f t="shared" si="53"/>
        <v>not audited</v>
      </c>
      <c r="AS47" s="131" t="str">
        <f t="shared" si="53"/>
        <v>not audited</v>
      </c>
      <c r="AT47" s="98" t="str">
        <f t="shared" ref="AT47" si="54">AS47</f>
        <v>not audited</v>
      </c>
      <c r="AU47" s="131" t="str">
        <f t="shared" ref="AU47" si="55">AT47</f>
        <v>not audited</v>
      </c>
      <c r="AV47" s="98" t="str">
        <f t="shared" ref="AV47" si="56">AU47</f>
        <v>not audited</v>
      </c>
      <c r="AW47" s="131" t="str">
        <f t="shared" ref="AW47" si="57">AV47</f>
        <v>not audited</v>
      </c>
      <c r="AX47" s="98" t="s">
        <v>438</v>
      </c>
      <c r="AY47" s="131" t="s">
        <v>316</v>
      </c>
      <c r="AZ47" s="98" t="s">
        <v>316</v>
      </c>
      <c r="BA47" s="131" t="s">
        <v>316</v>
      </c>
      <c r="BB47" s="98" t="s">
        <v>316</v>
      </c>
      <c r="BC47" s="131" t="s">
        <v>316</v>
      </c>
      <c r="BD47" s="98" t="s">
        <v>316</v>
      </c>
      <c r="BE47" s="98" t="s">
        <v>316</v>
      </c>
      <c r="BF47" s="98" t="s">
        <v>438</v>
      </c>
      <c r="BG47" s="131" t="s">
        <v>316</v>
      </c>
      <c r="BH47" s="98" t="s">
        <v>316</v>
      </c>
      <c r="BI47" s="131" t="s">
        <v>316</v>
      </c>
      <c r="BJ47" s="98" t="s">
        <v>438</v>
      </c>
      <c r="BK47" s="131" t="s">
        <v>316</v>
      </c>
      <c r="BL47" s="98" t="s">
        <v>316</v>
      </c>
    </row>
    <row r="48" spans="1:64" outlineLevel="1" x14ac:dyDescent="0.3">
      <c r="B48" s="193" t="s">
        <v>44</v>
      </c>
      <c r="C48" s="193" t="s">
        <v>45</v>
      </c>
      <c r="D48" s="194">
        <v>4489.1524970000009</v>
      </c>
      <c r="E48" s="195">
        <v>4668.9346690000002</v>
      </c>
      <c r="F48" s="194">
        <v>4778.0686959999994</v>
      </c>
      <c r="G48" s="195">
        <v>5119.4954319999997</v>
      </c>
      <c r="H48" s="194">
        <v>5160.3390290000007</v>
      </c>
      <c r="I48" s="195">
        <v>5104.4388430000008</v>
      </c>
      <c r="J48" s="194">
        <v>5491.4350970000005</v>
      </c>
      <c r="K48" s="195">
        <v>5144.733087999999</v>
      </c>
      <c r="L48" s="194">
        <v>6396.3026549999995</v>
      </c>
      <c r="M48" s="195">
        <v>6310.1572749999987</v>
      </c>
      <c r="N48" s="194">
        <v>6189</v>
      </c>
      <c r="O48" s="195">
        <v>5770</v>
      </c>
      <c r="P48" s="194">
        <v>6301</v>
      </c>
      <c r="Q48" s="195">
        <v>7587</v>
      </c>
      <c r="R48" s="194">
        <v>8690</v>
      </c>
      <c r="S48" s="195">
        <f>+'éves P&amp;L_mérleg'!K34</f>
        <v>8547.6569999999992</v>
      </c>
      <c r="T48" s="194">
        <v>9971.4320000000007</v>
      </c>
      <c r="U48" s="195">
        <f>+'féléves P&amp;L_mérleg'!H85</f>
        <v>14037</v>
      </c>
      <c r="V48" s="194">
        <v>23862.531999999999</v>
      </c>
      <c r="W48" s="195">
        <v>19009.337</v>
      </c>
      <c r="X48" s="194">
        <v>25029.538</v>
      </c>
      <c r="Y48" s="195">
        <v>29257</v>
      </c>
      <c r="Z48" s="194">
        <v>35445.053</v>
      </c>
      <c r="AA48" s="195">
        <v>26687.862000000001</v>
      </c>
      <c r="AB48" s="194">
        <v>30882.899000000001</v>
      </c>
      <c r="AC48" s="195">
        <v>32580</v>
      </c>
      <c r="AD48" s="194">
        <v>34675.317000000003</v>
      </c>
      <c r="AE48" s="195">
        <v>33854</v>
      </c>
      <c r="AF48" s="194">
        <v>37735.603000000003</v>
      </c>
      <c r="AG48" s="195">
        <v>33717.881999999998</v>
      </c>
      <c r="AH48" s="358"/>
      <c r="AI48" s="200">
        <f>D48/AI$45*1000</f>
        <v>14542.120171687726</v>
      </c>
      <c r="AJ48" s="201">
        <f>E48/AJ$45*1000</f>
        <v>15116.180493411468</v>
      </c>
      <c r="AK48" s="200">
        <f>F48/AK$45*1000</f>
        <v>15352.211213571953</v>
      </c>
      <c r="AL48" s="201">
        <f>G48/AL$45*1000</f>
        <v>16460.341560028293</v>
      </c>
      <c r="AM48" s="200">
        <f>H48/AM$45*1000</f>
        <v>16510.4432218845</v>
      </c>
      <c r="AN48" s="201">
        <f>I48/AN$45*1000</f>
        <v>15533.8978788801</v>
      </c>
      <c r="AO48" s="200">
        <f>J48/AO$45*1000</f>
        <v>16960.390070418191</v>
      </c>
      <c r="AP48" s="201">
        <f>K48/AP$45*1000</f>
        <v>16588.42164183917</v>
      </c>
      <c r="AQ48" s="200">
        <f>L48/AQ$45*1000</f>
        <v>19939.220845412885</v>
      </c>
      <c r="AR48" s="201">
        <f>M48/AR$45*1000</f>
        <v>19503.484190517393</v>
      </c>
      <c r="AS48" s="200">
        <f>N48/$AS$45*1000</f>
        <v>18493.948901837743</v>
      </c>
      <c r="AT48" s="201">
        <f>O48/$AS$45*1000</f>
        <v>17241.894516659198</v>
      </c>
      <c r="AU48" s="200">
        <f>P48/$AW$32*1000</f>
        <v>17279.583161936102</v>
      </c>
      <c r="AV48" s="201">
        <f>Q48/$AW$32*1000</f>
        <v>20806.252570958455</v>
      </c>
      <c r="AW48" s="200">
        <f>R48/AW$32*1000</f>
        <v>23831.070889894421</v>
      </c>
      <c r="AX48" s="201">
        <f>S48/AX$32*1000</f>
        <v>23409.900583353872</v>
      </c>
      <c r="AY48" s="200">
        <f>T48/AY$32*1000</f>
        <v>27414.378797459656</v>
      </c>
      <c r="AZ48" s="201">
        <f>U48/AZ$32*1000</f>
        <v>39889.173060528563</v>
      </c>
      <c r="BA48" s="200">
        <f>V48/BA$32*1000</f>
        <v>66189.204482414294</v>
      </c>
      <c r="BB48" s="201">
        <f>W48/BB$32*1000</f>
        <v>51515.818428184284</v>
      </c>
      <c r="BC48" s="200">
        <f>X48/BC$32*1000</f>
        <v>67716.947134895294</v>
      </c>
      <c r="BD48" s="201">
        <f>Y48/BD$32*1000</f>
        <v>73741.650913673599</v>
      </c>
      <c r="BE48" s="200">
        <f>Z48/BE$32*1000</f>
        <v>84110.611993070881</v>
      </c>
      <c r="BF48" s="201">
        <f>AA48/BF$32*1000</f>
        <v>66677.981261711437</v>
      </c>
      <c r="BG48" s="200">
        <f>AB48/BG$32*1000</f>
        <v>81059.605238982651</v>
      </c>
      <c r="BH48" s="201"/>
      <c r="BI48" s="200">
        <f t="shared" ref="BI48:BI56" si="58">AD48/BI$32*1000</f>
        <v>88627.008306709278</v>
      </c>
      <c r="BJ48" s="201">
        <f t="shared" ref="BJ48:BJ56" si="59">AE48/BJ$32*1000</f>
        <v>88442.447358796184</v>
      </c>
      <c r="BK48" s="200">
        <f t="shared" ref="BK48:BL56" si="60">AF48/BK$32*1000</f>
        <v>95332.852487178854</v>
      </c>
      <c r="BL48" s="201">
        <f t="shared" si="60"/>
        <v>85329.323041882832</v>
      </c>
    </row>
    <row r="49" spans="2:64" ht="15" outlineLevel="1" thickBot="1" x14ac:dyDescent="0.35">
      <c r="B49" s="196" t="s">
        <v>465</v>
      </c>
      <c r="C49" s="197" t="s">
        <v>466</v>
      </c>
      <c r="D49" s="330"/>
      <c r="E49" s="331"/>
      <c r="F49" s="330"/>
      <c r="G49" s="331"/>
      <c r="H49" s="330"/>
      <c r="I49" s="331"/>
      <c r="J49" s="330"/>
      <c r="K49" s="331"/>
      <c r="L49" s="330"/>
      <c r="M49" s="331"/>
      <c r="N49" s="330"/>
      <c r="O49" s="331"/>
      <c r="P49" s="330"/>
      <c r="Q49" s="331"/>
      <c r="R49" s="330"/>
      <c r="S49" s="331"/>
      <c r="T49" s="330"/>
      <c r="U49" s="331"/>
      <c r="V49" s="330"/>
      <c r="W49" s="199">
        <v>5306.4314290000002</v>
      </c>
      <c r="X49" s="198">
        <v>8764.2077090000002</v>
      </c>
      <c r="Y49" s="199">
        <v>9641</v>
      </c>
      <c r="Z49" s="198">
        <v>12639.697081</v>
      </c>
      <c r="AA49" s="199">
        <v>2069.2452630000003</v>
      </c>
      <c r="AB49" s="198">
        <v>541.88190699999996</v>
      </c>
      <c r="AC49" s="199">
        <v>224</v>
      </c>
      <c r="AD49" s="198">
        <v>-106.968324</v>
      </c>
      <c r="AE49" s="199">
        <v>-2389</v>
      </c>
      <c r="AF49" s="198">
        <v>-1132.228173</v>
      </c>
      <c r="AG49" s="199">
        <v>-441.02933200000001</v>
      </c>
      <c r="AH49" s="358"/>
      <c r="AI49" s="332"/>
      <c r="AJ49" s="333"/>
      <c r="AK49" s="332"/>
      <c r="AL49" s="333"/>
      <c r="AM49" s="332"/>
      <c r="AN49" s="333"/>
      <c r="AO49" s="332"/>
      <c r="AP49" s="333"/>
      <c r="AQ49" s="332"/>
      <c r="AR49" s="333"/>
      <c r="AS49" s="332"/>
      <c r="AT49" s="333"/>
      <c r="AU49" s="332"/>
      <c r="AV49" s="333"/>
      <c r="AW49" s="332"/>
      <c r="AX49" s="333"/>
      <c r="AY49" s="332"/>
      <c r="AZ49" s="333"/>
      <c r="BA49" s="332"/>
      <c r="BB49" s="333"/>
      <c r="BC49" s="332"/>
      <c r="BD49" s="333"/>
      <c r="BE49" s="332"/>
      <c r="BF49" s="333">
        <f t="shared" ref="BF49:BF59" si="61">AA49/BF$32*1000</f>
        <v>5169.8819812617121</v>
      </c>
      <c r="BG49" s="332"/>
      <c r="BH49" s="333"/>
      <c r="BI49" s="332">
        <f t="shared" si="58"/>
        <v>-273.40146709265173</v>
      </c>
      <c r="BJ49" s="333">
        <f t="shared" si="59"/>
        <v>-6241.1829249177081</v>
      </c>
      <c r="BK49" s="332">
        <f t="shared" si="60"/>
        <v>-2860.3899982315643</v>
      </c>
      <c r="BL49" s="333">
        <f t="shared" si="60"/>
        <v>-1116.1061166645579</v>
      </c>
    </row>
    <row r="50" spans="2:64" outlineLevel="2" x14ac:dyDescent="0.3">
      <c r="B50" s="355" t="s">
        <v>62</v>
      </c>
      <c r="C50" s="355" t="s">
        <v>63</v>
      </c>
      <c r="D50" s="356">
        <v>6591.7173349999994</v>
      </c>
      <c r="E50" s="357">
        <v>6230.6875429999991</v>
      </c>
      <c r="F50" s="356">
        <v>6572.5368279999984</v>
      </c>
      <c r="G50" s="357">
        <v>6254.7884560000002</v>
      </c>
      <c r="H50" s="356">
        <v>7138.188905</v>
      </c>
      <c r="I50" s="357">
        <v>6529.8529439999993</v>
      </c>
      <c r="J50" s="356">
        <v>8263.0708180000001</v>
      </c>
      <c r="K50" s="357">
        <v>9130.4673749999984</v>
      </c>
      <c r="L50" s="356">
        <v>11483.422210999999</v>
      </c>
      <c r="M50" s="357">
        <v>19876.075740000004</v>
      </c>
      <c r="N50" s="356">
        <v>17492</v>
      </c>
      <c r="O50" s="357">
        <v>21440</v>
      </c>
      <c r="P50" s="356">
        <v>22083</v>
      </c>
      <c r="Q50" s="357">
        <v>22014</v>
      </c>
      <c r="R50" s="356">
        <v>21982</v>
      </c>
      <c r="S50" s="357">
        <f>+'éves P&amp;L_mérleg'!K47</f>
        <v>27905.832999999999</v>
      </c>
      <c r="T50" s="356">
        <v>27134.091</v>
      </c>
      <c r="U50" s="357">
        <f>+'féléves P&amp;L_mérleg'!H97</f>
        <v>24533</v>
      </c>
      <c r="V50" s="356">
        <v>25146.434000000001</v>
      </c>
      <c r="W50" s="357">
        <v>24490.928</v>
      </c>
      <c r="X50" s="356">
        <v>24587.457999999999</v>
      </c>
      <c r="Y50" s="357">
        <v>25069</v>
      </c>
      <c r="Z50" s="356">
        <v>25517.510999999999</v>
      </c>
      <c r="AA50" s="357">
        <v>26716.632000000001</v>
      </c>
      <c r="AB50" s="356">
        <v>29839.67</v>
      </c>
      <c r="AC50" s="357">
        <v>31226</v>
      </c>
      <c r="AD50" s="356">
        <v>31671.173999999999</v>
      </c>
      <c r="AE50" s="357">
        <v>28653</v>
      </c>
      <c r="AF50" s="356">
        <v>27990.348999999998</v>
      </c>
      <c r="AG50" s="357">
        <v>27732.503000000001</v>
      </c>
      <c r="AH50" s="358"/>
      <c r="AI50" s="356">
        <f>D50/AI$45*1000</f>
        <v>21353.149773242629</v>
      </c>
      <c r="AJ50" s="357">
        <f>E50/AJ$45*1000</f>
        <v>20172.524178456952</v>
      </c>
      <c r="AK50" s="356">
        <f>F50/AK$45*1000</f>
        <v>21117.941162484327</v>
      </c>
      <c r="AL50" s="357">
        <f>G50/AL$45*1000</f>
        <v>20110.566703105909</v>
      </c>
      <c r="AM50" s="356">
        <f>H50/AM$45*1000</f>
        <v>22838.550327947527</v>
      </c>
      <c r="AN50" s="357">
        <f>I50/AN$45*1000</f>
        <v>19871.737504564815</v>
      </c>
      <c r="AO50" s="356">
        <f>J50/AO$45*1000</f>
        <v>25520.633819259994</v>
      </c>
      <c r="AP50" s="357">
        <f>K50/AP$45*1000</f>
        <v>29439.825159605334</v>
      </c>
      <c r="AQ50" s="356">
        <f>L50/AQ$45*1000</f>
        <v>35797.319776177559</v>
      </c>
      <c r="AR50" s="357">
        <f>M50/AR$45*1000</f>
        <v>61433.132657476672</v>
      </c>
      <c r="AS50" s="356">
        <f>N50/$AS$45*1000</f>
        <v>52269.535335425076</v>
      </c>
      <c r="AT50" s="357">
        <f>O50/$AS$45*1000</f>
        <v>64066.93560436277</v>
      </c>
      <c r="AU50" s="356">
        <f>P50/$AW$32*1000</f>
        <v>60559.440559440562</v>
      </c>
      <c r="AV50" s="357">
        <f>Q50/$AW$32*1000</f>
        <v>60370.218017276849</v>
      </c>
      <c r="AW50" s="356">
        <f>R50/AW$32*1000</f>
        <v>60282.462635403819</v>
      </c>
      <c r="AX50" s="357">
        <f>S50/AX$32*1000</f>
        <v>76427.116369512223</v>
      </c>
      <c r="AY50" s="356">
        <f>T50/AY$32*1000</f>
        <v>74599.540868226424</v>
      </c>
      <c r="AZ50" s="357">
        <f>U50/AZ$32*1000</f>
        <v>69715.828360329644</v>
      </c>
      <c r="BA50" s="356">
        <f>V50/BA$32*1000</f>
        <v>69750.454898479991</v>
      </c>
      <c r="BB50" s="357">
        <f>W50/BB$32*1000</f>
        <v>66371.07859078591</v>
      </c>
      <c r="BC50" s="356">
        <f>X50/BC$32*1000</f>
        <v>66520.907959525997</v>
      </c>
      <c r="BD50" s="357">
        <f>Y50/BD$32*1000</f>
        <v>63185.885318210458</v>
      </c>
      <c r="BE50" s="356">
        <f>Z50/BE$32*1000</f>
        <v>60552.69452552146</v>
      </c>
      <c r="BF50" s="357">
        <f t="shared" si="61"/>
        <v>66749.861336664588</v>
      </c>
      <c r="BG50" s="356">
        <f>AB50/BG$32*1000</f>
        <v>78321.399511798212</v>
      </c>
      <c r="BH50" s="357"/>
      <c r="BI50" s="356">
        <f t="shared" si="58"/>
        <v>80948.687539936102</v>
      </c>
      <c r="BJ50" s="357">
        <f t="shared" si="59"/>
        <v>74855.008098646751</v>
      </c>
      <c r="BK50" s="356">
        <f t="shared" si="60"/>
        <v>70713.056109946192</v>
      </c>
      <c r="BL50" s="357">
        <f t="shared" si="60"/>
        <v>70182.216879665953</v>
      </c>
    </row>
    <row r="51" spans="2:64" s="179" customFormat="1" outlineLevel="2" x14ac:dyDescent="0.3">
      <c r="B51" s="348" t="s">
        <v>465</v>
      </c>
      <c r="C51" s="349" t="s">
        <v>466</v>
      </c>
      <c r="D51" s="346"/>
      <c r="E51" s="350"/>
      <c r="F51" s="346"/>
      <c r="G51" s="350"/>
      <c r="H51" s="346"/>
      <c r="I51" s="350"/>
      <c r="J51" s="346"/>
      <c r="K51" s="350"/>
      <c r="L51" s="346"/>
      <c r="M51" s="350"/>
      <c r="N51" s="346"/>
      <c r="O51" s="350"/>
      <c r="P51" s="346"/>
      <c r="Q51" s="350"/>
      <c r="R51" s="346"/>
      <c r="S51" s="350"/>
      <c r="T51" s="346"/>
      <c r="U51" s="350"/>
      <c r="V51" s="346"/>
      <c r="W51" s="350">
        <v>525</v>
      </c>
      <c r="X51" s="346"/>
      <c r="Y51" s="350">
        <v>953</v>
      </c>
      <c r="Z51" s="346">
        <v>1250.079931</v>
      </c>
      <c r="AA51" s="350">
        <v>204.65063000000001</v>
      </c>
      <c r="AB51" s="346">
        <v>53.592716000000003</v>
      </c>
      <c r="AC51" s="350">
        <v>22</v>
      </c>
      <c r="AD51" s="346">
        <v>54.722223999999997</v>
      </c>
      <c r="AE51" s="350">
        <v>127</v>
      </c>
      <c r="AF51" s="346">
        <v>0</v>
      </c>
      <c r="AG51" s="350">
        <v>1079.8750210000001</v>
      </c>
      <c r="AH51" s="359"/>
      <c r="AI51" s="340"/>
      <c r="AJ51" s="339"/>
      <c r="AK51" s="340"/>
      <c r="AL51" s="339"/>
      <c r="AM51" s="340"/>
      <c r="AN51" s="339"/>
      <c r="AO51" s="340"/>
      <c r="AP51" s="339"/>
      <c r="AQ51" s="340"/>
      <c r="AR51" s="339"/>
      <c r="AS51" s="340"/>
      <c r="AT51" s="339"/>
      <c r="AU51" s="340"/>
      <c r="AV51" s="339"/>
      <c r="AW51" s="340"/>
      <c r="AX51" s="339"/>
      <c r="AY51" s="340"/>
      <c r="AZ51" s="339"/>
      <c r="BA51" s="340"/>
      <c r="BB51" s="339"/>
      <c r="BC51" s="340"/>
      <c r="BD51" s="339"/>
      <c r="BE51" s="340"/>
      <c r="BF51" s="339">
        <f t="shared" si="61"/>
        <v>511.307008119925</v>
      </c>
      <c r="BG51" s="340"/>
      <c r="BH51" s="339"/>
      <c r="BI51" s="340">
        <f t="shared" si="58"/>
        <v>139.8651092651757</v>
      </c>
      <c r="BJ51" s="339">
        <f t="shared" si="59"/>
        <v>331.7832697633105</v>
      </c>
      <c r="BK51" s="340">
        <f t="shared" si="60"/>
        <v>0</v>
      </c>
      <c r="BL51" s="339">
        <f t="shared" si="60"/>
        <v>2732.823031760091</v>
      </c>
    </row>
    <row r="52" spans="2:64" s="179" customFormat="1" outlineLevel="2" x14ac:dyDescent="0.3">
      <c r="B52" s="348" t="s">
        <v>334</v>
      </c>
      <c r="C52" s="349" t="s">
        <v>335</v>
      </c>
      <c r="D52" s="346"/>
      <c r="E52" s="350"/>
      <c r="F52" s="346"/>
      <c r="G52" s="350"/>
      <c r="H52" s="346"/>
      <c r="I52" s="350"/>
      <c r="J52" s="346"/>
      <c r="K52" s="350">
        <v>8165</v>
      </c>
      <c r="L52" s="346">
        <v>10386</v>
      </c>
      <c r="M52" s="350">
        <v>18308</v>
      </c>
      <c r="N52" s="346">
        <v>15926</v>
      </c>
      <c r="O52" s="350">
        <v>19413</v>
      </c>
      <c r="P52" s="346">
        <v>19883</v>
      </c>
      <c r="Q52" s="350">
        <v>19904</v>
      </c>
      <c r="R52" s="346">
        <v>19044</v>
      </c>
      <c r="S52" s="350">
        <f>+'éves P&amp;L_mérleg'!K48+'éves P&amp;L_mérleg'!K49+'éves P&amp;L_mérleg'!K50</f>
        <v>24347.803</v>
      </c>
      <c r="T52" s="346">
        <v>24186.687999999998</v>
      </c>
      <c r="U52" s="350">
        <f>+'féléves P&amp;L_mérleg'!H98+'féléves P&amp;L_mérleg'!H99+'féléves P&amp;L_mérleg'!H100</f>
        <v>21533</v>
      </c>
      <c r="V52" s="346">
        <v>21151.717000000001</v>
      </c>
      <c r="W52" s="350">
        <v>20929.076000000001</v>
      </c>
      <c r="X52" s="346">
        <v>20793.625</v>
      </c>
      <c r="Y52" s="350">
        <v>20748</v>
      </c>
      <c r="Z52" s="346">
        <v>20578.249</v>
      </c>
      <c r="AA52" s="350">
        <v>21177</v>
      </c>
      <c r="AB52" s="346">
        <v>24209.893</v>
      </c>
      <c r="AC52" s="350">
        <v>25342</v>
      </c>
      <c r="AD52" s="346">
        <v>25757.447</v>
      </c>
      <c r="AE52" s="350">
        <v>24398.2</v>
      </c>
      <c r="AF52" s="346">
        <v>24138.687999999998</v>
      </c>
      <c r="AG52" s="350">
        <v>23908.326000000001</v>
      </c>
      <c r="AH52" s="359"/>
      <c r="AI52" s="340"/>
      <c r="AJ52" s="339"/>
      <c r="AK52" s="340"/>
      <c r="AL52" s="339"/>
      <c r="AM52" s="340"/>
      <c r="AN52" s="339"/>
      <c r="AO52" s="340"/>
      <c r="AP52" s="339"/>
      <c r="AQ52" s="340"/>
      <c r="AR52" s="339"/>
      <c r="AS52" s="340">
        <f>N52/$AS$45*1000</f>
        <v>47590.019423278056</v>
      </c>
      <c r="AT52" s="339">
        <f>O52/$AS$45*1000</f>
        <v>58009.861048857019</v>
      </c>
      <c r="AU52" s="340">
        <f>P52/$AW$32*1000</f>
        <v>54526.258055669823</v>
      </c>
      <c r="AV52" s="339">
        <f>Q52/$AW$32*1000</f>
        <v>54583.847525024001</v>
      </c>
      <c r="AW52" s="340">
        <f>R52/AW$32*1000</f>
        <v>52225.421637186344</v>
      </c>
      <c r="AX52" s="339">
        <f>S52/AX$32*1000</f>
        <v>66682.55963629391</v>
      </c>
      <c r="AY52" s="340">
        <f>T52/AY$32*1000</f>
        <v>66496.269210678234</v>
      </c>
      <c r="AZ52" s="339">
        <f>U52/AZ$32*1000</f>
        <v>61190.679170218813</v>
      </c>
      <c r="BA52" s="340">
        <f>V52/BA$32*1000</f>
        <v>58670.023854432497</v>
      </c>
      <c r="BB52" s="339">
        <f>W52/BB$32*1000</f>
        <v>56718.363143631439</v>
      </c>
      <c r="BC52" s="340">
        <f>X52/BC$32*1000</f>
        <v>56256.763703262812</v>
      </c>
      <c r="BD52" s="339">
        <f>Y52/BD$32*1000</f>
        <v>52294.896030245742</v>
      </c>
      <c r="BE52" s="340">
        <f>Z52/BE$32*1000</f>
        <v>48831.895303860845</v>
      </c>
      <c r="BF52" s="339">
        <f t="shared" si="61"/>
        <v>52909.431605246726</v>
      </c>
      <c r="BG52" s="340">
        <f>AB52/BG$32*1000</f>
        <v>63544.694086458963</v>
      </c>
      <c r="BH52" s="339"/>
      <c r="BI52" s="340">
        <f t="shared" si="58"/>
        <v>65833.730351437698</v>
      </c>
      <c r="BJ52" s="339">
        <f t="shared" si="59"/>
        <v>63739.484821568534</v>
      </c>
      <c r="BK52" s="340">
        <f t="shared" si="60"/>
        <v>60982.462168102466</v>
      </c>
      <c r="BL52" s="339">
        <f t="shared" si="60"/>
        <v>60504.431228647358</v>
      </c>
    </row>
    <row r="53" spans="2:64" s="179" customFormat="1" ht="15" outlineLevel="2" thickBot="1" x14ac:dyDescent="0.35">
      <c r="B53" s="360" t="s">
        <v>496</v>
      </c>
      <c r="C53" s="361" t="s">
        <v>497</v>
      </c>
      <c r="D53" s="346"/>
      <c r="E53" s="350"/>
      <c r="F53" s="346"/>
      <c r="G53" s="350"/>
      <c r="H53" s="346"/>
      <c r="I53" s="350"/>
      <c r="J53" s="346"/>
      <c r="K53" s="350"/>
      <c r="L53" s="346"/>
      <c r="M53" s="350"/>
      <c r="N53" s="346"/>
      <c r="O53" s="350"/>
      <c r="P53" s="346"/>
      <c r="Q53" s="350"/>
      <c r="R53" s="346"/>
      <c r="S53" s="350"/>
      <c r="T53" s="346"/>
      <c r="U53" s="350"/>
      <c r="V53" s="346"/>
      <c r="W53" s="350"/>
      <c r="X53" s="346"/>
      <c r="Y53" s="350"/>
      <c r="Z53" s="346"/>
      <c r="AA53" s="350">
        <v>5334.9813700000013</v>
      </c>
      <c r="AB53" s="346"/>
      <c r="AC53" s="350">
        <v>5862</v>
      </c>
      <c r="AD53" s="346">
        <v>5859.0047759999979</v>
      </c>
      <c r="AE53" s="350">
        <v>4255</v>
      </c>
      <c r="AF53" s="346">
        <v>3851.6610000000001</v>
      </c>
      <c r="AG53" s="350">
        <v>2744.3019789999998</v>
      </c>
      <c r="AH53" s="359"/>
      <c r="AI53" s="340"/>
      <c r="AJ53" s="339"/>
      <c r="AK53" s="340"/>
      <c r="AL53" s="339"/>
      <c r="AM53" s="340"/>
      <c r="AN53" s="339"/>
      <c r="AO53" s="340"/>
      <c r="AP53" s="339"/>
      <c r="AQ53" s="340"/>
      <c r="AR53" s="339"/>
      <c r="AS53" s="340"/>
      <c r="AT53" s="339"/>
      <c r="AU53" s="340"/>
      <c r="AV53" s="339"/>
      <c r="AW53" s="340"/>
      <c r="AX53" s="339"/>
      <c r="AY53" s="340"/>
      <c r="AZ53" s="339"/>
      <c r="BA53" s="340"/>
      <c r="BB53" s="339"/>
      <c r="BC53" s="340"/>
      <c r="BD53" s="339"/>
      <c r="BE53" s="340"/>
      <c r="BF53" s="339">
        <f t="shared" si="61"/>
        <v>13329.122723297942</v>
      </c>
      <c r="BG53" s="340"/>
      <c r="BH53" s="339"/>
      <c r="BI53" s="340">
        <f t="shared" si="58"/>
        <v>14975.092079233222</v>
      </c>
      <c r="BJ53" s="339">
        <f t="shared" si="59"/>
        <v>11116.045770416427</v>
      </c>
      <c r="BK53" s="340">
        <f t="shared" si="60"/>
        <v>9730.5939418437229</v>
      </c>
      <c r="BL53" s="339">
        <f t="shared" si="60"/>
        <v>6944.9626192585092</v>
      </c>
    </row>
    <row r="54" spans="2:64" outlineLevel="2" x14ac:dyDescent="0.3">
      <c r="B54" s="355" t="s">
        <v>77</v>
      </c>
      <c r="C54" s="355" t="s">
        <v>78</v>
      </c>
      <c r="D54" s="362">
        <v>4489.968535</v>
      </c>
      <c r="E54" s="363">
        <v>3920.2216930000004</v>
      </c>
      <c r="F54" s="362">
        <v>3405.5251139999996</v>
      </c>
      <c r="G54" s="363">
        <v>5220.7135070000004</v>
      </c>
      <c r="H54" s="362">
        <v>4594.9061179999999</v>
      </c>
      <c r="I54" s="363">
        <v>4292.730325999999</v>
      </c>
      <c r="J54" s="362">
        <v>5903.6063940000004</v>
      </c>
      <c r="K54" s="363">
        <v>8583.8976410000014</v>
      </c>
      <c r="L54" s="362">
        <v>7905.8752260000001</v>
      </c>
      <c r="M54" s="363">
        <v>7025.2305310000011</v>
      </c>
      <c r="N54" s="362">
        <v>9498</v>
      </c>
      <c r="O54" s="363">
        <v>10466</v>
      </c>
      <c r="P54" s="362">
        <v>11222</v>
      </c>
      <c r="Q54" s="363">
        <v>8237</v>
      </c>
      <c r="R54" s="362">
        <v>6515</v>
      </c>
      <c r="S54" s="363">
        <f>+'éves P&amp;L_mérleg'!K56</f>
        <v>8430.7999999999993</v>
      </c>
      <c r="T54" s="362">
        <v>8127.4359999999997</v>
      </c>
      <c r="U54" s="363">
        <f>+'féléves P&amp;L_mérleg'!H106</f>
        <v>10525</v>
      </c>
      <c r="V54" s="362">
        <v>15105.099</v>
      </c>
      <c r="W54" s="363">
        <v>17260.483</v>
      </c>
      <c r="X54" s="362">
        <v>16555.830000000002</v>
      </c>
      <c r="Y54" s="363">
        <v>11910</v>
      </c>
      <c r="Z54" s="362">
        <v>25825.511999999999</v>
      </c>
      <c r="AA54" s="363">
        <v>46615.9</v>
      </c>
      <c r="AB54" s="362">
        <v>29084.828000000001</v>
      </c>
      <c r="AC54" s="363">
        <v>19318</v>
      </c>
      <c r="AD54" s="362">
        <v>18723.581999999999</v>
      </c>
      <c r="AE54" s="363">
        <v>29470</v>
      </c>
      <c r="AF54" s="362">
        <v>26216.481</v>
      </c>
      <c r="AG54" s="363">
        <v>21231.618999999999</v>
      </c>
      <c r="AH54" s="358"/>
      <c r="AI54" s="356">
        <f>D54/AI$45*1000</f>
        <v>14544.763637836088</v>
      </c>
      <c r="AJ54" s="357">
        <f>E54/AJ$45*1000</f>
        <v>12692.141331304434</v>
      </c>
      <c r="AK54" s="356">
        <f>F54/AK$45*1000</f>
        <v>10942.14925939016</v>
      </c>
      <c r="AL54" s="357">
        <f>G54/AL$45*1000</f>
        <v>16785.780679699059</v>
      </c>
      <c r="AM54" s="356">
        <f>H54/AM$45*1000</f>
        <v>14701.347362022074</v>
      </c>
      <c r="AN54" s="357">
        <f>I54/AN$45*1000</f>
        <v>13063.695453438828</v>
      </c>
      <c r="AO54" s="356">
        <f>J54/AO$45*1000</f>
        <v>18233.388084501825</v>
      </c>
      <c r="AP54" s="357">
        <f>K54/AP$45*1000</f>
        <v>27677.492877410205</v>
      </c>
      <c r="AQ54" s="356">
        <f>L54/AQ$45*1000</f>
        <v>24645.017693818387</v>
      </c>
      <c r="AR54" s="357">
        <f>M54/AR$45*1000</f>
        <v>21713.638285837918</v>
      </c>
      <c r="AS54" s="356">
        <f>N54/$AS$45*1000</f>
        <v>28381.891528462576</v>
      </c>
      <c r="AT54" s="357">
        <f>O54/$AS$45*1000</f>
        <v>31274.465859853583</v>
      </c>
      <c r="AU54" s="356">
        <f>P54/$AW$32*1000</f>
        <v>30774.715480597835</v>
      </c>
      <c r="AV54" s="357">
        <f>Q54/$AW$32*1000</f>
        <v>22588.783765254357</v>
      </c>
      <c r="AW54" s="356">
        <f>R54/AW$32*1000</f>
        <v>17866.447278211985</v>
      </c>
      <c r="AX54" s="357">
        <f>S54/AX$32*1000</f>
        <v>23089.858406594911</v>
      </c>
      <c r="AY54" s="356">
        <f>T54/AY$32*1000</f>
        <v>22344.695240975449</v>
      </c>
      <c r="AZ54" s="357">
        <f>U54/AZ$32*1000</f>
        <v>29909.065075305487</v>
      </c>
      <c r="BA54" s="356">
        <f>V54/BA$32*1000</f>
        <v>41898.088871629872</v>
      </c>
      <c r="BB54" s="357">
        <f>W54/BB$32*1000</f>
        <v>46776.376693766942</v>
      </c>
      <c r="BC54" s="356">
        <f>X54/BC$32*1000</f>
        <v>44791.488555814081</v>
      </c>
      <c r="BD54" s="357">
        <f>Y54/BD$32*1000</f>
        <v>30018.903591682421</v>
      </c>
      <c r="BE54" s="356">
        <f>Z54/BE$32*1000</f>
        <v>61283.576564390969</v>
      </c>
      <c r="BF54" s="357">
        <f t="shared" si="61"/>
        <v>116466.95815115554</v>
      </c>
      <c r="BG54" s="356">
        <f>AB54/BG$32*1000</f>
        <v>76340.134911677465</v>
      </c>
      <c r="BH54" s="357"/>
      <c r="BI54" s="356">
        <f t="shared" si="58"/>
        <v>47855.800638977635</v>
      </c>
      <c r="BJ54" s="357">
        <f t="shared" si="59"/>
        <v>76989.393385234347</v>
      </c>
      <c r="BK54" s="356">
        <f t="shared" si="60"/>
        <v>66231.667635095873</v>
      </c>
      <c r="BL54" s="357">
        <f t="shared" si="60"/>
        <v>53730.530178413261</v>
      </c>
    </row>
    <row r="55" spans="2:64" outlineLevel="2" x14ac:dyDescent="0.3">
      <c r="B55" s="348" t="s">
        <v>465</v>
      </c>
      <c r="C55" s="349" t="s">
        <v>466</v>
      </c>
      <c r="D55" s="341"/>
      <c r="E55" s="342"/>
      <c r="F55" s="341"/>
      <c r="G55" s="342"/>
      <c r="H55" s="341"/>
      <c r="I55" s="342"/>
      <c r="J55" s="341"/>
      <c r="K55" s="342"/>
      <c r="L55" s="341"/>
      <c r="M55" s="342"/>
      <c r="N55" s="341"/>
      <c r="O55" s="342"/>
      <c r="P55" s="341"/>
      <c r="Q55" s="342"/>
      <c r="R55" s="341"/>
      <c r="S55" s="342"/>
      <c r="T55" s="341"/>
      <c r="U55" s="342"/>
      <c r="V55" s="341"/>
      <c r="W55" s="342"/>
      <c r="X55" s="341"/>
      <c r="Y55" s="342"/>
      <c r="Z55" s="341"/>
      <c r="AA55" s="343">
        <v>324.15987199999995</v>
      </c>
      <c r="AB55" s="416">
        <v>837.23086999999998</v>
      </c>
      <c r="AC55" s="343">
        <v>1787</v>
      </c>
      <c r="AD55" s="416">
        <v>1230.5420060000001</v>
      </c>
      <c r="AE55" s="343">
        <v>3266</v>
      </c>
      <c r="AF55" s="341">
        <v>1955.3159350000001</v>
      </c>
      <c r="AG55" s="343">
        <v>0</v>
      </c>
      <c r="AH55" s="358"/>
      <c r="AI55" s="337"/>
      <c r="AJ55" s="338"/>
      <c r="AK55" s="337"/>
      <c r="AL55" s="338"/>
      <c r="AM55" s="337"/>
      <c r="AN55" s="338"/>
      <c r="AO55" s="337"/>
      <c r="AP55" s="338"/>
      <c r="AQ55" s="337"/>
      <c r="AR55" s="338"/>
      <c r="AS55" s="337"/>
      <c r="AT55" s="338"/>
      <c r="AU55" s="337"/>
      <c r="AV55" s="338"/>
      <c r="AW55" s="337"/>
      <c r="AX55" s="338"/>
      <c r="AY55" s="337"/>
      <c r="AZ55" s="338"/>
      <c r="BA55" s="337"/>
      <c r="BB55" s="338"/>
      <c r="BC55" s="337"/>
      <c r="BD55" s="338"/>
      <c r="BE55" s="337"/>
      <c r="BF55" s="338">
        <f t="shared" si="61"/>
        <v>809.89349656464697</v>
      </c>
      <c r="BG55" s="337"/>
      <c r="BH55" s="338"/>
      <c r="BI55" s="346">
        <f t="shared" si="58"/>
        <v>3145.1552869009588</v>
      </c>
      <c r="BJ55" s="338">
        <f t="shared" si="59"/>
        <v>8532.3162129682842</v>
      </c>
      <c r="BK55" s="346">
        <f t="shared" si="60"/>
        <v>4939.7871182073113</v>
      </c>
      <c r="BL55" s="338">
        <f t="shared" si="60"/>
        <v>0</v>
      </c>
    </row>
    <row r="56" spans="2:64" s="179" customFormat="1" outlineLevel="2" x14ac:dyDescent="0.3">
      <c r="B56" s="348" t="s">
        <v>334</v>
      </c>
      <c r="C56" s="349" t="s">
        <v>335</v>
      </c>
      <c r="D56" s="347"/>
      <c r="E56" s="364"/>
      <c r="F56" s="347"/>
      <c r="G56" s="364"/>
      <c r="H56" s="347"/>
      <c r="I56" s="364"/>
      <c r="J56" s="347"/>
      <c r="K56" s="364">
        <v>1597</v>
      </c>
      <c r="L56" s="347">
        <v>1578</v>
      </c>
      <c r="M56" s="364">
        <v>1775</v>
      </c>
      <c r="N56" s="347">
        <v>3853</v>
      </c>
      <c r="O56" s="364">
        <v>3011</v>
      </c>
      <c r="P56" s="347">
        <v>2656</v>
      </c>
      <c r="Q56" s="364">
        <v>2862</v>
      </c>
      <c r="R56" s="347">
        <v>436</v>
      </c>
      <c r="S56" s="364">
        <f>+'éves P&amp;L_mérleg'!K57+'éves P&amp;L_mérleg'!K58+'éves P&amp;L_mérleg'!K59</f>
        <v>1084.605</v>
      </c>
      <c r="T56" s="347">
        <v>1100.3910000000001</v>
      </c>
      <c r="U56" s="364">
        <f>+'féléves P&amp;L_mérleg'!H107+'féléves P&amp;L_mérleg'!H108+'féléves P&amp;L_mérleg'!H109</f>
        <v>3417</v>
      </c>
      <c r="V56" s="347">
        <v>4050.5189999999998</v>
      </c>
      <c r="W56" s="364">
        <v>2969.66</v>
      </c>
      <c r="X56" s="347">
        <v>2342.627</v>
      </c>
      <c r="Y56" s="364">
        <v>684</v>
      </c>
      <c r="Z56" s="347">
        <v>694.678</v>
      </c>
      <c r="AA56" s="364">
        <v>7577.3320000000003</v>
      </c>
      <c r="AB56" s="347">
        <v>2430.415</v>
      </c>
      <c r="AC56" s="364">
        <v>1836</v>
      </c>
      <c r="AD56" s="347">
        <v>2151.998</v>
      </c>
      <c r="AE56" s="364">
        <v>2234</v>
      </c>
      <c r="AF56" s="347">
        <v>2218.846</v>
      </c>
      <c r="AG56" s="364">
        <v>2202.8319999999999</v>
      </c>
      <c r="AH56" s="359"/>
      <c r="AI56" s="346"/>
      <c r="AJ56" s="350"/>
      <c r="AK56" s="346"/>
      <c r="AL56" s="350"/>
      <c r="AM56" s="346"/>
      <c r="AN56" s="350"/>
      <c r="AO56" s="346"/>
      <c r="AP56" s="350"/>
      <c r="AQ56" s="346"/>
      <c r="AR56" s="350"/>
      <c r="AS56" s="346">
        <f>N56/$AS$45*1000</f>
        <v>11513.521589720604</v>
      </c>
      <c r="AT56" s="364">
        <f>O56/$AS$45*1000</f>
        <v>8997.4600328701636</v>
      </c>
      <c r="AU56" s="346">
        <f>P56/$AW$32*1000</f>
        <v>7283.6966954614018</v>
      </c>
      <c r="AV56" s="364">
        <f>Q56/$AW$32*1000</f>
        <v>7848.6219662690255</v>
      </c>
      <c r="AW56" s="346">
        <f>R56/AW$32*1000</f>
        <v>1195.6670780200193</v>
      </c>
      <c r="AX56" s="364">
        <f>S56/AX$32*1000</f>
        <v>2970.4625749732973</v>
      </c>
      <c r="AY56" s="346">
        <f>T56/AY$32*1000</f>
        <v>3025.2962362191734</v>
      </c>
      <c r="AZ56" s="364">
        <f>U56/AZ$32*1000</f>
        <v>9710.144927536232</v>
      </c>
      <c r="BA56" s="346">
        <f>V56/BA$32*1000</f>
        <v>11235.213025629646</v>
      </c>
      <c r="BB56" s="364">
        <f>W56/BB$32*1000</f>
        <v>8047.8590785907863</v>
      </c>
      <c r="BC56" s="346">
        <f>X56/BC$32*1000</f>
        <v>6337.9335533791455</v>
      </c>
      <c r="BD56" s="364">
        <f>Y56/BD$32*1000</f>
        <v>1724.0075614366731</v>
      </c>
      <c r="BE56" s="346">
        <f>Z56/BE$32*1000</f>
        <v>1648.4611186255665</v>
      </c>
      <c r="BF56" s="364">
        <f t="shared" si="61"/>
        <v>18931.497813866332</v>
      </c>
      <c r="BG56" s="346">
        <f>AB56/BG$32*1000</f>
        <v>6379.209428068978</v>
      </c>
      <c r="BH56" s="364"/>
      <c r="BI56" s="346">
        <f t="shared" si="58"/>
        <v>5500.3143769968046</v>
      </c>
      <c r="BJ56" s="364">
        <f t="shared" si="59"/>
        <v>5836.250587805006</v>
      </c>
      <c r="BK56" s="346">
        <f t="shared" si="60"/>
        <v>5605.552888866433</v>
      </c>
      <c r="BL56" s="364">
        <f t="shared" si="60"/>
        <v>5574.6729090218905</v>
      </c>
    </row>
    <row r="57" spans="2:64" s="179" customFormat="1" outlineLevel="2" x14ac:dyDescent="0.3">
      <c r="B57" s="348" t="s">
        <v>498</v>
      </c>
      <c r="C57" s="349" t="s">
        <v>500</v>
      </c>
      <c r="D57" s="347"/>
      <c r="E57" s="364"/>
      <c r="F57" s="347"/>
      <c r="G57" s="364"/>
      <c r="H57" s="347"/>
      <c r="I57" s="364"/>
      <c r="J57" s="347"/>
      <c r="K57" s="364"/>
      <c r="L57" s="347"/>
      <c r="M57" s="364"/>
      <c r="N57" s="347"/>
      <c r="O57" s="364"/>
      <c r="P57" s="347"/>
      <c r="Q57" s="364"/>
      <c r="R57" s="347"/>
      <c r="S57" s="364"/>
      <c r="T57" s="347"/>
      <c r="U57" s="364"/>
      <c r="V57" s="347"/>
      <c r="W57" s="364"/>
      <c r="X57" s="347"/>
      <c r="Y57" s="364"/>
      <c r="Z57" s="347"/>
      <c r="AA57" s="364">
        <v>27270.597054999998</v>
      </c>
      <c r="AB57" s="347"/>
      <c r="AC57" s="364">
        <v>8718</v>
      </c>
      <c r="AD57" s="347">
        <v>8976.1248469999991</v>
      </c>
      <c r="AE57" s="364">
        <v>16101</v>
      </c>
      <c r="AF57" s="347">
        <v>15937.962398</v>
      </c>
      <c r="AG57" s="364">
        <v>12424.127947999998</v>
      </c>
      <c r="AH57" s="359"/>
      <c r="AI57" s="346"/>
      <c r="AJ57" s="350"/>
      <c r="AK57" s="346"/>
      <c r="AL57" s="350"/>
      <c r="AM57" s="346"/>
      <c r="AN57" s="350"/>
      <c r="AO57" s="346"/>
      <c r="AP57" s="350"/>
      <c r="AQ57" s="346"/>
      <c r="AR57" s="350"/>
      <c r="AS57" s="346"/>
      <c r="AT57" s="364"/>
      <c r="AU57" s="346"/>
      <c r="AV57" s="364"/>
      <c r="AW57" s="346"/>
      <c r="AX57" s="364"/>
      <c r="AY57" s="346"/>
      <c r="AZ57" s="364"/>
      <c r="BA57" s="346"/>
      <c r="BB57" s="364"/>
      <c r="BC57" s="346"/>
      <c r="BD57" s="364"/>
      <c r="BE57" s="346"/>
      <c r="BF57" s="364">
        <f t="shared" si="61"/>
        <v>68133.908944409734</v>
      </c>
      <c r="BG57" s="346"/>
      <c r="BH57" s="364"/>
      <c r="BI57" s="346">
        <f>AD57/BI$32*1000</f>
        <v>22942.172132907344</v>
      </c>
      <c r="BJ57" s="364">
        <f>AE57/BJ$32*1000</f>
        <v>42063.326192591048</v>
      </c>
      <c r="BK57" s="346">
        <f>AF57/BK$32*1000</f>
        <v>40264.665128969507</v>
      </c>
      <c r="BL57" s="364">
        <f>AG57/BL$32*1000</f>
        <v>31441.548647349104</v>
      </c>
    </row>
    <row r="58" spans="2:64" s="179" customFormat="1" ht="15" outlineLevel="2" thickBot="1" x14ac:dyDescent="0.35">
      <c r="B58" s="351" t="s">
        <v>499</v>
      </c>
      <c r="C58" s="352" t="s">
        <v>501</v>
      </c>
      <c r="D58" s="353"/>
      <c r="E58" s="354"/>
      <c r="F58" s="353"/>
      <c r="G58" s="354"/>
      <c r="H58" s="353"/>
      <c r="I58" s="354"/>
      <c r="J58" s="353"/>
      <c r="K58" s="354"/>
      <c r="L58" s="353"/>
      <c r="M58" s="354"/>
      <c r="N58" s="353"/>
      <c r="O58" s="354"/>
      <c r="P58" s="353"/>
      <c r="Q58" s="354"/>
      <c r="R58" s="353"/>
      <c r="S58" s="354"/>
      <c r="T58" s="353"/>
      <c r="U58" s="354"/>
      <c r="V58" s="353"/>
      <c r="W58" s="354"/>
      <c r="X58" s="353"/>
      <c r="Y58" s="354"/>
      <c r="Z58" s="353"/>
      <c r="AA58" s="354">
        <v>11443.811073000004</v>
      </c>
      <c r="AB58" s="353"/>
      <c r="AC58" s="354">
        <v>6977</v>
      </c>
      <c r="AD58" s="353">
        <v>6364.9171470000001</v>
      </c>
      <c r="AE58" s="354">
        <v>7869</v>
      </c>
      <c r="AF58" s="353">
        <v>6104.356667</v>
      </c>
      <c r="AG58" s="354">
        <v>6604.6590520000009</v>
      </c>
      <c r="AH58" s="359"/>
      <c r="AI58" s="365"/>
      <c r="AJ58" s="366"/>
      <c r="AK58" s="365"/>
      <c r="AL58" s="366"/>
      <c r="AM58" s="365"/>
      <c r="AN58" s="366"/>
      <c r="AO58" s="365"/>
      <c r="AP58" s="366"/>
      <c r="AQ58" s="365"/>
      <c r="AR58" s="366"/>
      <c r="AS58" s="365"/>
      <c r="AT58" s="354"/>
      <c r="AU58" s="365"/>
      <c r="AV58" s="354"/>
      <c r="AW58" s="365"/>
      <c r="AX58" s="354"/>
      <c r="AY58" s="365"/>
      <c r="AZ58" s="354"/>
      <c r="BA58" s="365"/>
      <c r="BB58" s="354"/>
      <c r="BC58" s="365"/>
      <c r="BD58" s="354"/>
      <c r="BE58" s="365"/>
      <c r="BF58" s="354">
        <f t="shared" si="61"/>
        <v>28591.657896314813</v>
      </c>
      <c r="BG58" s="365"/>
      <c r="BH58" s="354"/>
      <c r="BI58" s="346">
        <f>AD58/BI$32*1000</f>
        <v>16268.158842172525</v>
      </c>
      <c r="BJ58" s="354">
        <f>AE58/BJ$32*1000</f>
        <v>20557.500391870006</v>
      </c>
      <c r="BK58" s="346">
        <f>AF58/BK$32*1000</f>
        <v>15421.662499052625</v>
      </c>
      <c r="BL58" s="354">
        <f>AG58/BL$32*1000</f>
        <v>16714.308622042263</v>
      </c>
    </row>
    <row r="59" spans="2:64" ht="30" outlineLevel="2" thickTop="1" thickBot="1" x14ac:dyDescent="0.35">
      <c r="B59" s="96" t="s">
        <v>91</v>
      </c>
      <c r="C59" s="96" t="s">
        <v>92</v>
      </c>
      <c r="D59" s="116">
        <f t="shared" ref="D59:M59" si="62">D54+D50+D48</f>
        <v>15570.838367</v>
      </c>
      <c r="E59" s="124">
        <f t="shared" si="62"/>
        <v>14819.843905</v>
      </c>
      <c r="F59" s="116">
        <f t="shared" si="62"/>
        <v>14756.130637999999</v>
      </c>
      <c r="G59" s="124">
        <f t="shared" si="62"/>
        <v>16594.997394999999</v>
      </c>
      <c r="H59" s="116">
        <f t="shared" si="62"/>
        <v>16893.434052000001</v>
      </c>
      <c r="I59" s="124">
        <f t="shared" si="62"/>
        <v>15927.022112999999</v>
      </c>
      <c r="J59" s="116">
        <f t="shared" si="62"/>
        <v>19658.112309</v>
      </c>
      <c r="K59" s="124">
        <f t="shared" si="62"/>
        <v>22859.098103999997</v>
      </c>
      <c r="L59" s="116">
        <f t="shared" si="62"/>
        <v>25785.600092000001</v>
      </c>
      <c r="M59" s="124">
        <f t="shared" si="62"/>
        <v>33211.463546000006</v>
      </c>
      <c r="N59" s="116">
        <v>33179</v>
      </c>
      <c r="O59" s="124">
        <v>37676</v>
      </c>
      <c r="P59" s="116">
        <v>39606</v>
      </c>
      <c r="Q59" s="124">
        <v>37838</v>
      </c>
      <c r="R59" s="116">
        <v>37187</v>
      </c>
      <c r="S59" s="124">
        <f>+'éves P&amp;L_mérleg'!K66</f>
        <v>44884.29</v>
      </c>
      <c r="T59" s="116">
        <f>+T42</f>
        <v>45233</v>
      </c>
      <c r="U59" s="124">
        <f>+'féléves P&amp;L_mérleg'!H116</f>
        <v>49095</v>
      </c>
      <c r="V59" s="116">
        <v>64114.065000000002</v>
      </c>
      <c r="W59" s="124">
        <v>60760.748</v>
      </c>
      <c r="X59" s="116">
        <v>66172.826000000001</v>
      </c>
      <c r="Y59" s="124">
        <v>66236</v>
      </c>
      <c r="Z59" s="116">
        <v>86788.076000000001</v>
      </c>
      <c r="AA59" s="124">
        <v>100020.394</v>
      </c>
      <c r="AB59" s="116">
        <v>89807.396999999997</v>
      </c>
      <c r="AC59" s="124">
        <v>83124</v>
      </c>
      <c r="AD59" s="116">
        <v>85070.073000000004</v>
      </c>
      <c r="AE59" s="124">
        <v>91978</v>
      </c>
      <c r="AF59" s="116">
        <v>91942.433000000005</v>
      </c>
      <c r="AG59" s="124">
        <v>82682.003999999986</v>
      </c>
      <c r="AH59" s="136"/>
      <c r="AI59" s="116">
        <f>D59/AI$45*1000</f>
        <v>50440.033582766438</v>
      </c>
      <c r="AJ59" s="124">
        <f>E59/AJ$45*1000</f>
        <v>47980.846003172854</v>
      </c>
      <c r="AK59" s="116">
        <f>F59/AK$45*1000</f>
        <v>47412.301635446449</v>
      </c>
      <c r="AL59" s="124">
        <f>G59/AL$45*1000</f>
        <v>53356.688942833258</v>
      </c>
      <c r="AM59" s="116">
        <f>H59/AM$45*1000</f>
        <v>54050.340911854102</v>
      </c>
      <c r="AN59" s="124">
        <f>I59/AN$45*1000</f>
        <v>48469.330836883739</v>
      </c>
      <c r="AO59" s="116">
        <f>J59/AO$45*1000</f>
        <v>60714.411974180002</v>
      </c>
      <c r="AP59" s="124">
        <f>K59/AP$45*1000</f>
        <v>73705.739678854705</v>
      </c>
      <c r="AQ59" s="116">
        <f>L59/AQ$45*1000</f>
        <v>80381.558315408824</v>
      </c>
      <c r="AR59" s="124">
        <f>M59/AR$45*1000</f>
        <v>102650.25513383199</v>
      </c>
      <c r="AS59" s="116">
        <f>+AS54+AS50+AS48</f>
        <v>99145.375765725388</v>
      </c>
      <c r="AT59" s="124">
        <f>+AT54+AT50+AT48</f>
        <v>112583.29598087555</v>
      </c>
      <c r="AU59" s="116">
        <f>P59/$AW$32*1000</f>
        <v>108613.7392019745</v>
      </c>
      <c r="AV59" s="124">
        <f>Q59/$AW$32*1000</f>
        <v>103765.25435348965</v>
      </c>
      <c r="AW59" s="116">
        <f>R59/AW$32*1000</f>
        <v>101979.98080351022</v>
      </c>
      <c r="AX59" s="124">
        <f>S59/AX$32*1000</f>
        <v>122926.87535946102</v>
      </c>
      <c r="AY59" s="116">
        <f>T59/AY$32*1000</f>
        <v>124358.72762763588</v>
      </c>
      <c r="AZ59" s="124">
        <f>U59/AZ$32*1000</f>
        <v>139514.06649616366</v>
      </c>
      <c r="BA59" s="116">
        <f>V59/BA$32*1000</f>
        <v>177837.74825252415</v>
      </c>
      <c r="BB59" s="124">
        <f>W59/BB$32*1000</f>
        <v>164663.27371273714</v>
      </c>
      <c r="BC59" s="116">
        <f>X59/BC$32*1000</f>
        <v>179029.34365023539</v>
      </c>
      <c r="BD59" s="124">
        <f>Y59/BD$32*1000</f>
        <v>166946.43982356647</v>
      </c>
      <c r="BE59" s="116">
        <f>Z59/BE$32*1000</f>
        <v>205946.88308298332</v>
      </c>
      <c r="BF59" s="124">
        <f t="shared" si="61"/>
        <v>249894.80074953157</v>
      </c>
      <c r="BG59" s="116">
        <f>AB59/BG$32*1000</f>
        <v>235721.1396624583</v>
      </c>
      <c r="BH59" s="124"/>
      <c r="BI59" s="116">
        <f>AD59/BI$32*1000</f>
        <v>217431.49648562301</v>
      </c>
      <c r="BJ59" s="124">
        <f>AE59/BJ$32*1000</f>
        <v>240289.46130936834</v>
      </c>
      <c r="BK59" s="116">
        <f>AF59/BK$32*1000</f>
        <v>232277.57623222092</v>
      </c>
      <c r="BL59" s="124">
        <f>AG59/BL$32*1000</f>
        <v>209242.070099962</v>
      </c>
    </row>
    <row r="60" spans="2:64" s="87" customFormat="1" ht="15" outlineLevel="1" thickTop="1" x14ac:dyDescent="0.3"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 s="103"/>
      <c r="AK60" s="103"/>
      <c r="AL60"/>
      <c r="AM60"/>
      <c r="AN60"/>
      <c r="AO60"/>
      <c r="AP60"/>
      <c r="AQ60"/>
      <c r="AR60"/>
      <c r="AS60" s="192"/>
      <c r="AT60"/>
    </row>
    <row r="61" spans="2:64" outlineLevel="1" x14ac:dyDescent="0.3"/>
  </sheetData>
  <mergeCells count="2">
    <mergeCell ref="AI44:AJ44"/>
    <mergeCell ref="AI1:AW1"/>
  </mergeCells>
  <phoneticPr fontId="3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3099-6104-405C-9264-BF3D4A3D49FE}">
  <sheetPr codeName="Munka4"/>
  <dimension ref="B2:M25"/>
  <sheetViews>
    <sheetView workbookViewId="0">
      <selection activeCell="D12" sqref="A12:D12"/>
    </sheetView>
  </sheetViews>
  <sheetFormatPr defaultColWidth="8.77734375" defaultRowHeight="14.4" x14ac:dyDescent="0.3"/>
  <cols>
    <col min="2" max="3" width="37.44140625" customWidth="1"/>
    <col min="4" max="4" width="17.33203125" customWidth="1"/>
    <col min="5" max="5" width="11.44140625" customWidth="1"/>
    <col min="6" max="7" width="11.33203125" customWidth="1"/>
    <col min="8" max="8" width="10.6640625" customWidth="1"/>
    <col min="10" max="10" width="33.44140625" customWidth="1"/>
  </cols>
  <sheetData>
    <row r="2" spans="2:12" ht="15" thickBot="1" x14ac:dyDescent="0.35"/>
    <row r="3" spans="2:12" x14ac:dyDescent="0.3">
      <c r="D3" s="62">
        <v>43830</v>
      </c>
      <c r="E3" s="63">
        <v>43465</v>
      </c>
      <c r="F3" s="62">
        <v>43100</v>
      </c>
      <c r="G3" s="63">
        <v>42735</v>
      </c>
      <c r="H3" s="64" t="s">
        <v>261</v>
      </c>
    </row>
    <row r="4" spans="2:12" ht="27.6" x14ac:dyDescent="0.3">
      <c r="B4" s="65" t="s">
        <v>271</v>
      </c>
      <c r="C4" s="65"/>
      <c r="D4" s="67" t="s">
        <v>262</v>
      </c>
      <c r="E4" s="67" t="s">
        <v>262</v>
      </c>
      <c r="F4" s="66" t="s">
        <v>262</v>
      </c>
      <c r="G4" s="67" t="s">
        <v>262</v>
      </c>
      <c r="H4" s="68" t="s">
        <v>285</v>
      </c>
    </row>
    <row r="5" spans="2:12" ht="27.6" x14ac:dyDescent="0.3">
      <c r="B5" s="69" t="s">
        <v>263</v>
      </c>
      <c r="C5" s="73" t="s">
        <v>274</v>
      </c>
      <c r="D5" s="73"/>
      <c r="E5" s="71">
        <v>10230.591</v>
      </c>
      <c r="F5" s="70">
        <v>9557.5337209999998</v>
      </c>
      <c r="G5" s="71">
        <v>8291.0161179999996</v>
      </c>
      <c r="H5" s="72">
        <f>E5/F5-1</f>
        <v>7.0421648371602918E-2</v>
      </c>
      <c r="K5" s="73"/>
      <c r="L5" s="81"/>
    </row>
    <row r="6" spans="2:12" ht="27.6" x14ac:dyDescent="0.3">
      <c r="B6" s="73" t="s">
        <v>264</v>
      </c>
      <c r="C6" s="73" t="s">
        <v>275</v>
      </c>
      <c r="D6" s="73"/>
      <c r="E6" s="43">
        <v>626.95699999999999</v>
      </c>
      <c r="F6" s="74">
        <v>837.77375500000005</v>
      </c>
      <c r="G6" s="43">
        <v>1015.4943420000001</v>
      </c>
      <c r="H6" s="75">
        <f t="shared" ref="H6:H25" si="0">E6/F6-1</f>
        <v>-0.25163924477438426</v>
      </c>
      <c r="K6" s="73"/>
      <c r="L6" s="81"/>
    </row>
    <row r="7" spans="2:12" x14ac:dyDescent="0.3">
      <c r="B7" s="73" t="s">
        <v>265</v>
      </c>
      <c r="C7" s="73" t="s">
        <v>276</v>
      </c>
      <c r="D7" s="73"/>
      <c r="E7" s="43">
        <v>7581.6869999999999</v>
      </c>
      <c r="F7" s="74">
        <v>6216.3799730000001</v>
      </c>
      <c r="G7" s="43">
        <v>3897.1971610000001</v>
      </c>
      <c r="H7" s="75">
        <f t="shared" si="0"/>
        <v>0.21963056198784914</v>
      </c>
      <c r="K7" s="73"/>
      <c r="L7" s="81"/>
    </row>
    <row r="8" spans="2:12" x14ac:dyDescent="0.3">
      <c r="B8" s="73" t="s">
        <v>266</v>
      </c>
      <c r="C8" s="73" t="s">
        <v>277</v>
      </c>
      <c r="D8" s="73"/>
      <c r="E8" s="43">
        <v>6943.4889999999996</v>
      </c>
      <c r="F8" s="74">
        <v>5120.8255200000003</v>
      </c>
      <c r="G8" s="43">
        <v>3091.856252</v>
      </c>
      <c r="H8" s="75">
        <f t="shared" si="0"/>
        <v>0.35593157253285979</v>
      </c>
      <c r="K8" s="73"/>
      <c r="L8" s="81"/>
    </row>
    <row r="9" spans="2:12" x14ac:dyDescent="0.3">
      <c r="B9" s="73" t="s">
        <v>267</v>
      </c>
      <c r="C9" s="73" t="s">
        <v>278</v>
      </c>
      <c r="D9" s="73"/>
      <c r="E9" s="43">
        <v>346.96300000000002</v>
      </c>
      <c r="F9" s="74">
        <v>346</v>
      </c>
      <c r="G9" s="43">
        <v>729.72434799999996</v>
      </c>
      <c r="H9" s="75">
        <f t="shared" si="0"/>
        <v>2.7832369942197843E-3</v>
      </c>
      <c r="K9" s="73"/>
      <c r="L9" s="81"/>
    </row>
    <row r="10" spans="2:12" ht="15" thickBot="1" x14ac:dyDescent="0.35">
      <c r="B10" s="73" t="s">
        <v>268</v>
      </c>
      <c r="C10" s="73"/>
      <c r="D10" s="73"/>
      <c r="E10" s="43">
        <f>+'éves P&amp;L_mérleg'!I73-SUM(szegmensek!E5:E9)</f>
        <v>-7043.9200000000019</v>
      </c>
      <c r="F10" s="74">
        <f>-3670-20</f>
        <v>-3690</v>
      </c>
      <c r="G10" s="43">
        <v>-3077.0695139999998</v>
      </c>
      <c r="H10" s="75">
        <f t="shared" si="0"/>
        <v>0.9089214092140927</v>
      </c>
    </row>
    <row r="11" spans="2:12" ht="15" thickBot="1" x14ac:dyDescent="0.35">
      <c r="B11" s="76" t="s">
        <v>269</v>
      </c>
      <c r="C11" s="76"/>
      <c r="D11" s="76"/>
      <c r="E11" s="78">
        <f>+SUM(E5:E10)</f>
        <v>18685.767</v>
      </c>
      <c r="F11" s="77">
        <f>+SUM(F5:F10)</f>
        <v>18388.512969000003</v>
      </c>
      <c r="G11" s="78">
        <f>+SUM(G5:G10)</f>
        <v>13948.218707</v>
      </c>
      <c r="H11" s="79">
        <f t="shared" ref="H11" si="1">F11/G11-1</f>
        <v>0.31834131334430649</v>
      </c>
    </row>
    <row r="12" spans="2:12" ht="27.6" x14ac:dyDescent="0.3">
      <c r="B12" s="73" t="s">
        <v>263</v>
      </c>
      <c r="C12" s="73"/>
      <c r="D12" s="73"/>
      <c r="E12" s="43">
        <f>-8697-30-426</f>
        <v>-9153</v>
      </c>
      <c r="F12" s="74">
        <f>-8660-1+217</f>
        <v>-8444</v>
      </c>
      <c r="G12" s="43">
        <v>-6694.334866000002</v>
      </c>
      <c r="H12" s="75">
        <f t="shared" si="0"/>
        <v>8.3964945523448575E-2</v>
      </c>
    </row>
    <row r="13" spans="2:12" ht="27.6" x14ac:dyDescent="0.3">
      <c r="B13" s="73" t="s">
        <v>264</v>
      </c>
      <c r="C13" s="73"/>
      <c r="D13" s="73"/>
      <c r="E13" s="43">
        <f>-164-73+43</f>
        <v>-194</v>
      </c>
      <c r="F13" s="74">
        <f>-221-97+38</f>
        <v>-280</v>
      </c>
      <c r="G13" s="43">
        <v>-302.82872500000002</v>
      </c>
      <c r="H13" s="75">
        <f t="shared" si="0"/>
        <v>-0.30714285714285716</v>
      </c>
    </row>
    <row r="14" spans="2:12" x14ac:dyDescent="0.3">
      <c r="B14" s="73" t="s">
        <v>265</v>
      </c>
      <c r="C14" s="73"/>
      <c r="D14" s="73"/>
      <c r="E14" s="43">
        <f>-4927-1611+213</f>
        <v>-6325</v>
      </c>
      <c r="F14" s="74">
        <f>-3759-1345+55</f>
        <v>-5049</v>
      </c>
      <c r="G14" s="43">
        <v>-3133.6149570000002</v>
      </c>
      <c r="H14" s="75">
        <f t="shared" si="0"/>
        <v>0.25272331154684102</v>
      </c>
    </row>
    <row r="15" spans="2:12" x14ac:dyDescent="0.3">
      <c r="B15" s="73" t="s">
        <v>266</v>
      </c>
      <c r="C15" s="73"/>
      <c r="D15" s="73"/>
      <c r="E15" s="43">
        <f>-6626-53+18</f>
        <v>-6661</v>
      </c>
      <c r="F15" s="74">
        <f>-5217-47+2</f>
        <v>-5262</v>
      </c>
      <c r="G15" s="43">
        <v>-2966.2490310000003</v>
      </c>
      <c r="H15" s="75">
        <f t="shared" si="0"/>
        <v>0.2658684910680349</v>
      </c>
    </row>
    <row r="16" spans="2:12" x14ac:dyDescent="0.3">
      <c r="B16" s="73" t="s">
        <v>267</v>
      </c>
      <c r="C16" s="73"/>
      <c r="D16" s="73"/>
      <c r="E16" s="43">
        <f>-545-800-10</f>
        <v>-1355</v>
      </c>
      <c r="F16" s="74">
        <f>-407-681+9</f>
        <v>-1079</v>
      </c>
      <c r="G16" s="43">
        <v>-1614.6495629999999</v>
      </c>
      <c r="H16" s="75">
        <f t="shared" si="0"/>
        <v>0.25579240037071371</v>
      </c>
    </row>
    <row r="17" spans="2:13" ht="15" thickBot="1" x14ac:dyDescent="0.35">
      <c r="B17" s="73" t="s">
        <v>268</v>
      </c>
      <c r="C17" s="73"/>
      <c r="D17" s="73"/>
      <c r="E17" s="43">
        <f>-E10-241</f>
        <v>6802.9200000000019</v>
      </c>
      <c r="F17" s="74">
        <f>-F10-13</f>
        <v>3677</v>
      </c>
      <c r="G17" s="43">
        <v>3077.0445830000003</v>
      </c>
      <c r="H17" s="75">
        <f t="shared" si="0"/>
        <v>0.85012782159369094</v>
      </c>
    </row>
    <row r="18" spans="2:13" ht="15" thickBot="1" x14ac:dyDescent="0.35">
      <c r="B18" s="76" t="s">
        <v>270</v>
      </c>
      <c r="C18" s="76"/>
      <c r="D18" s="76"/>
      <c r="E18" s="78">
        <f>+SUM(E12:E17)</f>
        <v>-16885.079999999998</v>
      </c>
      <c r="F18" s="77">
        <f>+SUM(F12:F17)</f>
        <v>-16437</v>
      </c>
      <c r="G18" s="78">
        <f>+SUM(G12:G17)</f>
        <v>-11634.632559</v>
      </c>
      <c r="H18" s="79">
        <f t="shared" si="0"/>
        <v>2.7260448987041386E-2</v>
      </c>
    </row>
    <row r="19" spans="2:13" ht="27.6" x14ac:dyDescent="0.3">
      <c r="B19" s="73" t="s">
        <v>263</v>
      </c>
      <c r="C19" s="73" t="s">
        <v>274</v>
      </c>
      <c r="D19" s="73"/>
      <c r="E19" s="43">
        <f t="shared" ref="E19:G24" si="2">+E5+E12</f>
        <v>1077.5910000000003</v>
      </c>
      <c r="F19" s="74">
        <f>+F5+F12</f>
        <v>1113.5337209999998</v>
      </c>
      <c r="G19" s="43">
        <f t="shared" si="2"/>
        <v>1596.6812519999976</v>
      </c>
      <c r="H19" s="75">
        <f t="shared" si="0"/>
        <v>-3.2278071442435885E-2</v>
      </c>
      <c r="L19" s="43"/>
      <c r="M19" s="81"/>
    </row>
    <row r="20" spans="2:13" ht="27.6" x14ac:dyDescent="0.3">
      <c r="B20" s="73" t="s">
        <v>264</v>
      </c>
      <c r="C20" s="73" t="s">
        <v>275</v>
      </c>
      <c r="D20" s="73"/>
      <c r="E20" s="43">
        <f t="shared" si="2"/>
        <v>432.95699999999999</v>
      </c>
      <c r="F20" s="74">
        <f t="shared" ref="F20:F24" si="3">+F6+F13</f>
        <v>557.77375500000005</v>
      </c>
      <c r="G20" s="43">
        <f t="shared" si="2"/>
        <v>712.66561700000011</v>
      </c>
      <c r="H20" s="75">
        <f t="shared" si="0"/>
        <v>-0.22377667267618218</v>
      </c>
      <c r="L20" s="43"/>
      <c r="M20" s="81"/>
    </row>
    <row r="21" spans="2:13" x14ac:dyDescent="0.3">
      <c r="B21" s="73" t="s">
        <v>265</v>
      </c>
      <c r="C21" s="73" t="s">
        <v>276</v>
      </c>
      <c r="D21" s="73"/>
      <c r="E21" s="43">
        <f t="shared" si="2"/>
        <v>1256.6869999999999</v>
      </c>
      <c r="F21" s="74">
        <f t="shared" si="3"/>
        <v>1167.3799730000001</v>
      </c>
      <c r="G21" s="43">
        <f t="shared" si="2"/>
        <v>763.58220399999982</v>
      </c>
      <c r="H21" s="75">
        <f t="shared" si="0"/>
        <v>7.6502106482513543E-2</v>
      </c>
      <c r="L21" s="43"/>
      <c r="M21" s="81"/>
    </row>
    <row r="22" spans="2:13" x14ac:dyDescent="0.3">
      <c r="B22" s="73" t="s">
        <v>266</v>
      </c>
      <c r="C22" s="73" t="s">
        <v>277</v>
      </c>
      <c r="D22" s="73"/>
      <c r="E22" s="43">
        <f t="shared" si="2"/>
        <v>282.48899999999958</v>
      </c>
      <c r="F22" s="74">
        <f t="shared" si="3"/>
        <v>-141.17447999999968</v>
      </c>
      <c r="G22" s="43">
        <f t="shared" si="2"/>
        <v>125.60722099999975</v>
      </c>
      <c r="H22" s="75">
        <f t="shared" si="0"/>
        <v>-3.000991963986694</v>
      </c>
      <c r="L22" s="43"/>
      <c r="M22" s="81"/>
    </row>
    <row r="23" spans="2:13" x14ac:dyDescent="0.3">
      <c r="B23" s="73" t="s">
        <v>267</v>
      </c>
      <c r="C23" s="73" t="s">
        <v>278</v>
      </c>
      <c r="D23" s="73"/>
      <c r="E23" s="43">
        <f t="shared" si="2"/>
        <v>-1008.037</v>
      </c>
      <c r="F23" s="74">
        <f t="shared" si="3"/>
        <v>-733</v>
      </c>
      <c r="G23" s="43">
        <f t="shared" si="2"/>
        <v>-884.92521499999998</v>
      </c>
      <c r="H23" s="75">
        <f t="shared" si="0"/>
        <v>0.37522100954979543</v>
      </c>
      <c r="L23" s="43"/>
      <c r="M23" s="81"/>
    </row>
    <row r="24" spans="2:13" ht="15" thickBot="1" x14ac:dyDescent="0.35">
      <c r="B24" s="73" t="s">
        <v>268</v>
      </c>
      <c r="C24" s="73"/>
      <c r="D24" s="73"/>
      <c r="E24" s="43">
        <f t="shared" si="2"/>
        <v>-241</v>
      </c>
      <c r="F24" s="74">
        <f t="shared" si="3"/>
        <v>-13</v>
      </c>
      <c r="G24" s="43">
        <f t="shared" si="2"/>
        <v>-2.493099999946935E-2</v>
      </c>
      <c r="H24" s="75"/>
      <c r="L24" s="43"/>
      <c r="M24" s="81"/>
    </row>
    <row r="25" spans="2:13" ht="15" thickBot="1" x14ac:dyDescent="0.35">
      <c r="B25" s="76" t="s">
        <v>139</v>
      </c>
      <c r="C25" s="76"/>
      <c r="D25" s="76"/>
      <c r="E25" s="78">
        <f>+SUM(E19:E24)</f>
        <v>1800.6869999999997</v>
      </c>
      <c r="F25" s="77">
        <f>+SUM(F19:F24)</f>
        <v>1951.5129690000003</v>
      </c>
      <c r="G25" s="78">
        <f>+SUM(G19:G24)</f>
        <v>2313.586147999998</v>
      </c>
      <c r="H25" s="79">
        <f t="shared" si="0"/>
        <v>-7.7286685456816273E-2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D178-045D-4C96-B691-6F850929037D}">
  <sheetPr codeName="Munka5"/>
  <dimension ref="A1:T176"/>
  <sheetViews>
    <sheetView showGridLines="0" tabSelected="1" topLeftCell="A82" zoomScale="70" zoomScaleNormal="70" workbookViewId="0">
      <selection activeCell="R117" sqref="R117"/>
    </sheetView>
  </sheetViews>
  <sheetFormatPr defaultColWidth="8.77734375" defaultRowHeight="14.4" outlineLevelRow="1" outlineLevelCol="1" x14ac:dyDescent="0.3"/>
  <cols>
    <col min="2" max="2" width="47.6640625" customWidth="1"/>
    <col min="3" max="3" width="25.6640625" customWidth="1" outlineLevel="1"/>
    <col min="4" max="6" width="10.77734375" customWidth="1" outlineLevel="1"/>
    <col min="7" max="19" width="10.77734375" customWidth="1"/>
    <col min="20" max="20" width="12" customWidth="1"/>
  </cols>
  <sheetData>
    <row r="1" spans="1:20" ht="15" thickBot="1" x14ac:dyDescent="0.35">
      <c r="A1" s="385"/>
      <c r="B1" s="385"/>
      <c r="D1" s="289"/>
      <c r="E1" s="289"/>
      <c r="F1" s="289"/>
      <c r="G1" s="289"/>
      <c r="H1" s="289"/>
      <c r="I1" s="289"/>
      <c r="J1" s="289"/>
    </row>
    <row r="2" spans="1:20" ht="43.2" x14ac:dyDescent="0.3">
      <c r="B2" s="294" t="s">
        <v>477</v>
      </c>
      <c r="C2" s="295" t="s">
        <v>478</v>
      </c>
      <c r="D2" s="282">
        <v>2016</v>
      </c>
      <c r="E2" s="282">
        <v>2017</v>
      </c>
      <c r="F2" s="282">
        <v>2018</v>
      </c>
      <c r="G2" s="282">
        <v>2019</v>
      </c>
      <c r="H2" s="382">
        <v>2020</v>
      </c>
      <c r="I2" s="382">
        <v>2021</v>
      </c>
      <c r="J2" s="282">
        <v>2022</v>
      </c>
      <c r="K2" s="283">
        <v>2023</v>
      </c>
    </row>
    <row r="3" spans="1:20" x14ac:dyDescent="0.3">
      <c r="B3" s="285" t="s">
        <v>269</v>
      </c>
      <c r="C3" s="280" t="s">
        <v>451</v>
      </c>
      <c r="D3" s="369">
        <v>8291.0161179999996</v>
      </c>
      <c r="E3" s="369">
        <v>9557.5337209999998</v>
      </c>
      <c r="F3" s="370">
        <v>10230.590999999999</v>
      </c>
      <c r="G3" s="370">
        <v>11699.307999999999</v>
      </c>
      <c r="H3" s="370">
        <v>14179.346353000001</v>
      </c>
      <c r="I3" s="370">
        <v>24284.974919</v>
      </c>
      <c r="J3" s="370">
        <v>80897.482948999997</v>
      </c>
      <c r="K3" s="371">
        <v>75521.246450000006</v>
      </c>
    </row>
    <row r="4" spans="1:20" x14ac:dyDescent="0.3">
      <c r="B4" s="286" t="s">
        <v>435</v>
      </c>
      <c r="C4" s="367" t="s">
        <v>415</v>
      </c>
      <c r="D4" s="372"/>
      <c r="E4" s="372"/>
      <c r="F4" s="373"/>
      <c r="G4" s="373"/>
      <c r="H4" s="373"/>
      <c r="I4" s="373">
        <v>84.732989000000003</v>
      </c>
      <c r="J4" s="373">
        <v>141.38377700000001</v>
      </c>
      <c r="K4" s="374">
        <v>276.78482100000002</v>
      </c>
    </row>
    <row r="5" spans="1:20" x14ac:dyDescent="0.3">
      <c r="B5" s="286" t="s">
        <v>169</v>
      </c>
      <c r="C5" s="367" t="s">
        <v>447</v>
      </c>
      <c r="D5" s="372"/>
      <c r="E5" s="372"/>
      <c r="F5" s="373">
        <v>-8697.0027009999994</v>
      </c>
      <c r="G5" s="373">
        <v>-9538.7446299999992</v>
      </c>
      <c r="H5" s="373">
        <v>-9965.8493450000005</v>
      </c>
      <c r="I5" s="373">
        <v>-12802.207106</v>
      </c>
      <c r="J5" s="373">
        <v>-56631.494699000003</v>
      </c>
      <c r="K5" s="374">
        <v>-50321.500331000003</v>
      </c>
    </row>
    <row r="6" spans="1:20" x14ac:dyDescent="0.3">
      <c r="B6" s="286" t="s">
        <v>143</v>
      </c>
      <c r="C6" s="367" t="s">
        <v>449</v>
      </c>
      <c r="D6" s="372"/>
      <c r="E6" s="372"/>
      <c r="F6" s="373">
        <v>-29.589324000000001</v>
      </c>
      <c r="G6" s="373">
        <v>-159.22743</v>
      </c>
      <c r="H6" s="373">
        <v>-268.81010700000002</v>
      </c>
      <c r="I6" s="373">
        <v>-880.22839399999998</v>
      </c>
      <c r="J6" s="373">
        <v>-1435.9353920000001</v>
      </c>
      <c r="K6" s="374">
        <v>-1694.3518939999999</v>
      </c>
    </row>
    <row r="7" spans="1:20" ht="15" thickBot="1" x14ac:dyDescent="0.35">
      <c r="B7" s="286" t="s">
        <v>398</v>
      </c>
      <c r="C7" s="367" t="s">
        <v>448</v>
      </c>
      <c r="D7" s="372"/>
      <c r="E7" s="372"/>
      <c r="F7" s="373">
        <v>-426.18168900000001</v>
      </c>
      <c r="G7" s="373">
        <v>-752.26828499999999</v>
      </c>
      <c r="H7" s="373">
        <v>-1072.0747389999999</v>
      </c>
      <c r="I7" s="373">
        <v>-1645.710259</v>
      </c>
      <c r="J7" s="373">
        <v>-6446.7102480000003</v>
      </c>
      <c r="K7" s="374">
        <v>-8317.0788190000003</v>
      </c>
    </row>
    <row r="8" spans="1:20" ht="15" thickTop="1" x14ac:dyDescent="0.3">
      <c r="B8" s="287" t="s">
        <v>139</v>
      </c>
      <c r="C8" s="279" t="s">
        <v>139</v>
      </c>
      <c r="D8" s="375">
        <v>1596.6812519999976</v>
      </c>
      <c r="E8" s="375">
        <v>1113.5337209999998</v>
      </c>
      <c r="F8" s="376">
        <v>1077.5909999999992</v>
      </c>
      <c r="G8" s="376">
        <v>1249.0677110000006</v>
      </c>
      <c r="H8" s="376">
        <v>2933.0253269999994</v>
      </c>
      <c r="I8" s="376">
        <v>9041.5621490000012</v>
      </c>
      <c r="J8" s="376">
        <v>16524.726386999992</v>
      </c>
      <c r="K8" s="377">
        <v>15465.100227000003</v>
      </c>
    </row>
    <row r="9" spans="1:20" ht="15" thickBot="1" x14ac:dyDescent="0.35">
      <c r="B9" s="286" t="s">
        <v>442</v>
      </c>
      <c r="C9" s="383" t="s">
        <v>450</v>
      </c>
      <c r="D9" s="378"/>
      <c r="E9" s="378"/>
      <c r="F9" s="373"/>
      <c r="G9" s="373"/>
      <c r="H9" s="373"/>
      <c r="I9" s="373">
        <v>-473.5611962866908</v>
      </c>
      <c r="J9" s="373">
        <v>-795.66488926243937</v>
      </c>
      <c r="K9" s="374">
        <v>-910.83003570588346</v>
      </c>
    </row>
    <row r="10" spans="1:20" ht="15.6" thickTop="1" thickBot="1" x14ac:dyDescent="0.35">
      <c r="B10" s="287" t="s">
        <v>443</v>
      </c>
      <c r="C10" s="384" t="s">
        <v>443</v>
      </c>
      <c r="D10" s="379"/>
      <c r="E10" s="379"/>
      <c r="F10" s="380"/>
      <c r="G10" s="380"/>
      <c r="H10" s="380"/>
      <c r="I10" s="380">
        <v>8568.0009527133097</v>
      </c>
      <c r="J10" s="380">
        <v>15729.061497737552</v>
      </c>
      <c r="K10" s="381">
        <v>14554.270191294119</v>
      </c>
    </row>
    <row r="11" spans="1:20" ht="6" customHeight="1" thickBot="1" x14ac:dyDescent="0.35"/>
    <row r="12" spans="1:20" ht="43.2" x14ac:dyDescent="0.3">
      <c r="B12" s="294" t="s">
        <v>477</v>
      </c>
      <c r="C12" s="295" t="s">
        <v>478</v>
      </c>
      <c r="D12" s="282" t="s">
        <v>317</v>
      </c>
      <c r="E12" s="282" t="s">
        <v>319</v>
      </c>
      <c r="F12" s="282" t="s">
        <v>407</v>
      </c>
      <c r="G12" s="282" t="s">
        <v>441</v>
      </c>
      <c r="H12" s="282" t="s">
        <v>457</v>
      </c>
      <c r="I12" s="282" t="s">
        <v>458</v>
      </c>
      <c r="J12" s="282">
        <v>2021</v>
      </c>
      <c r="K12" s="282" t="s">
        <v>467</v>
      </c>
      <c r="L12" s="282" t="s">
        <v>468</v>
      </c>
      <c r="M12" s="282" t="s">
        <v>469</v>
      </c>
      <c r="N12" s="282">
        <v>2022</v>
      </c>
      <c r="O12" s="282" t="s">
        <v>484</v>
      </c>
      <c r="P12" s="282" t="s">
        <v>487</v>
      </c>
      <c r="Q12" s="282" t="s">
        <v>488</v>
      </c>
      <c r="R12" s="282">
        <v>2023</v>
      </c>
      <c r="S12" s="282" t="s">
        <v>509</v>
      </c>
      <c r="T12" s="283" t="s">
        <v>517</v>
      </c>
    </row>
    <row r="13" spans="1:20" x14ac:dyDescent="0.3">
      <c r="B13" s="285" t="s">
        <v>269</v>
      </c>
      <c r="C13" s="280" t="s">
        <v>451</v>
      </c>
      <c r="D13" s="369">
        <v>4255.1733100000001</v>
      </c>
      <c r="E13" s="369">
        <v>7511.3717770000003</v>
      </c>
      <c r="F13" s="370">
        <v>10118.562577999999</v>
      </c>
      <c r="G13" s="370">
        <v>4419.3897889999998</v>
      </c>
      <c r="H13" s="370">
        <v>10294.671456</v>
      </c>
      <c r="I13" s="370">
        <v>15218.596933000001</v>
      </c>
      <c r="J13" s="370">
        <v>24284.974919</v>
      </c>
      <c r="K13" s="370">
        <v>12590.508185999999</v>
      </c>
      <c r="L13" s="370">
        <v>26289.994136000001</v>
      </c>
      <c r="M13" s="370">
        <v>46449.428678999997</v>
      </c>
      <c r="N13" s="370">
        <v>80897.482948999997</v>
      </c>
      <c r="O13" s="370">
        <v>29749.038410000001</v>
      </c>
      <c r="P13" s="370">
        <v>47566.680658999998</v>
      </c>
      <c r="Q13" s="370">
        <v>60391.421842000003</v>
      </c>
      <c r="R13" s="370">
        <v>75521.246450000006</v>
      </c>
      <c r="S13" s="370">
        <v>16031.199161</v>
      </c>
      <c r="T13" s="371">
        <v>29056.491236000002</v>
      </c>
    </row>
    <row r="14" spans="1:20" x14ac:dyDescent="0.3">
      <c r="B14" s="286" t="s">
        <v>435</v>
      </c>
      <c r="C14" s="367" t="s">
        <v>415</v>
      </c>
      <c r="D14" s="372">
        <v>17.608502999999999</v>
      </c>
      <c r="E14" s="372">
        <v>32.666156999999998</v>
      </c>
      <c r="F14" s="373">
        <v>66.133887999999999</v>
      </c>
      <c r="G14" s="373">
        <v>25.889605</v>
      </c>
      <c r="H14" s="373">
        <v>45.003377</v>
      </c>
      <c r="I14" s="373">
        <v>61.560088999999998</v>
      </c>
      <c r="J14" s="373">
        <v>84.732989000000003</v>
      </c>
      <c r="K14" s="373">
        <v>27.868701000000001</v>
      </c>
      <c r="L14" s="373">
        <v>59</v>
      </c>
      <c r="M14" s="373">
        <v>93.554832000000005</v>
      </c>
      <c r="N14" s="373">
        <v>141.38377700000001</v>
      </c>
      <c r="O14" s="373">
        <v>87.651176000000007</v>
      </c>
      <c r="P14" s="373">
        <v>181</v>
      </c>
      <c r="Q14" s="373">
        <v>268</v>
      </c>
      <c r="R14" s="373">
        <v>277</v>
      </c>
      <c r="S14" s="373">
        <v>58.597140000000003</v>
      </c>
      <c r="T14" s="374">
        <v>123.80110999999999</v>
      </c>
    </row>
    <row r="15" spans="1:20" x14ac:dyDescent="0.3">
      <c r="B15" s="286" t="s">
        <v>169</v>
      </c>
      <c r="C15" s="367" t="s">
        <v>447</v>
      </c>
      <c r="D15" s="372">
        <v>-3065.2282369999998</v>
      </c>
      <c r="E15" s="372">
        <v>-4697.8855009999997</v>
      </c>
      <c r="F15" s="373">
        <v>-6297.3843939999997</v>
      </c>
      <c r="G15" s="373">
        <v>-2577.525208</v>
      </c>
      <c r="H15" s="373">
        <v>-4868.7558390000004</v>
      </c>
      <c r="I15" s="373">
        <v>-6974.9305830000003</v>
      </c>
      <c r="J15" s="373">
        <v>-12802.207106</v>
      </c>
      <c r="K15" s="373">
        <v>-8395.2074350000003</v>
      </c>
      <c r="L15" s="373">
        <v>-14866.159419</v>
      </c>
      <c r="M15" s="373">
        <v>-29828.164205000001</v>
      </c>
      <c r="N15" s="373">
        <v>-56631.494699000003</v>
      </c>
      <c r="O15" s="373">
        <v>-20584.461885000001</v>
      </c>
      <c r="P15" s="373">
        <v>-31804.998390000001</v>
      </c>
      <c r="Q15" s="373">
        <v>-40408.881243000003</v>
      </c>
      <c r="R15" s="373">
        <v>-50321.500331000003</v>
      </c>
      <c r="S15" s="373">
        <v>-10960.525882</v>
      </c>
      <c r="T15" s="374">
        <v>-17684.108444000001</v>
      </c>
    </row>
    <row r="16" spans="1:20" x14ac:dyDescent="0.3">
      <c r="B16" s="286" t="s">
        <v>143</v>
      </c>
      <c r="C16" s="367" t="s">
        <v>449</v>
      </c>
      <c r="D16" s="372">
        <v>-188.08090000000001</v>
      </c>
      <c r="E16" s="372">
        <v>-380.203868</v>
      </c>
      <c r="F16" s="373">
        <v>-591.83630600000004</v>
      </c>
      <c r="G16" s="373">
        <v>-180.146693</v>
      </c>
      <c r="H16" s="373">
        <v>-453.3895</v>
      </c>
      <c r="I16" s="373">
        <v>-638.472038</v>
      </c>
      <c r="J16" s="373">
        <v>-880.22839399999998</v>
      </c>
      <c r="K16" s="373">
        <v>-276.34044499999999</v>
      </c>
      <c r="L16" s="373">
        <v>-628.45949299999995</v>
      </c>
      <c r="M16" s="373">
        <v>-1050.4950570000001</v>
      </c>
      <c r="N16" s="373">
        <v>-1435.9353920000001</v>
      </c>
      <c r="O16" s="373">
        <v>-368.18668500000001</v>
      </c>
      <c r="P16" s="373">
        <v>-793.48301800000002</v>
      </c>
      <c r="Q16" s="373">
        <v>-1254.0462299999999</v>
      </c>
      <c r="R16" s="373">
        <v>-1694.3518939999999</v>
      </c>
      <c r="S16" s="373">
        <v>-504.33225500000003</v>
      </c>
      <c r="T16" s="374">
        <v>-1063.3123229999999</v>
      </c>
    </row>
    <row r="17" spans="2:20" ht="15" thickBot="1" x14ac:dyDescent="0.35">
      <c r="B17" s="286" t="s">
        <v>398</v>
      </c>
      <c r="C17" s="367" t="s">
        <v>448</v>
      </c>
      <c r="D17" s="372">
        <v>-526.94573000000003</v>
      </c>
      <c r="E17" s="372">
        <v>-589.65214400000002</v>
      </c>
      <c r="F17" s="373">
        <v>-679.37316499999997</v>
      </c>
      <c r="G17" s="373">
        <v>-479.92029300000002</v>
      </c>
      <c r="H17" s="373">
        <v>-637.39113199999997</v>
      </c>
      <c r="I17" s="373">
        <v>-933.54613300000005</v>
      </c>
      <c r="J17" s="373">
        <v>-1645.710259</v>
      </c>
      <c r="K17" s="373">
        <v>-863.59520799999996</v>
      </c>
      <c r="L17" s="373">
        <v>-1630.8714379999999</v>
      </c>
      <c r="M17" s="373">
        <v>-2534.6642000000002</v>
      </c>
      <c r="N17" s="373">
        <v>-6446.7102480000003</v>
      </c>
      <c r="O17" s="373">
        <v>-2746.9847100000002</v>
      </c>
      <c r="P17" s="373">
        <v>-4904.4271159999998</v>
      </c>
      <c r="Q17" s="373">
        <v>-6261.8504160000002</v>
      </c>
      <c r="R17" s="373">
        <v>-8317.0788190000003</v>
      </c>
      <c r="S17" s="373">
        <v>-1711.326288</v>
      </c>
      <c r="T17" s="374">
        <v>-3036.2286569999997</v>
      </c>
    </row>
    <row r="18" spans="2:20" ht="15" thickTop="1" x14ac:dyDescent="0.3">
      <c r="B18" s="287" t="s">
        <v>139</v>
      </c>
      <c r="C18" s="279" t="s">
        <v>139</v>
      </c>
      <c r="D18" s="375">
        <v>492.52694600000063</v>
      </c>
      <c r="E18" s="375">
        <v>1876.296421</v>
      </c>
      <c r="F18" s="376">
        <v>2616.1026009999996</v>
      </c>
      <c r="G18" s="376">
        <v>1207.6872000000003</v>
      </c>
      <c r="H18" s="376">
        <v>4380.1383620000006</v>
      </c>
      <c r="I18" s="376">
        <v>6733.2082680000021</v>
      </c>
      <c r="J18" s="376">
        <v>9041.5621490000012</v>
      </c>
      <c r="K18" s="376">
        <v>3083.2337989999987</v>
      </c>
      <c r="L18" s="376">
        <v>9223.102280000001</v>
      </c>
      <c r="M18" s="376">
        <v>13129.660048999998</v>
      </c>
      <c r="N18" s="376">
        <v>16524.726386999992</v>
      </c>
      <c r="O18" s="376">
        <v>6137.0563059999986</v>
      </c>
      <c r="P18" s="376">
        <v>10245.066117999995</v>
      </c>
      <c r="Q18" s="376">
        <v>12734.840995999999</v>
      </c>
      <c r="R18" s="376">
        <v>15465.100227000003</v>
      </c>
      <c r="S18" s="376">
        <v>2913.6118759999999</v>
      </c>
      <c r="T18" s="377">
        <v>7396.6429220000009</v>
      </c>
    </row>
    <row r="19" spans="2:20" ht="15" thickBot="1" x14ac:dyDescent="0.35">
      <c r="B19" s="286" t="s">
        <v>442</v>
      </c>
      <c r="C19" s="383" t="s">
        <v>450</v>
      </c>
      <c r="D19" s="378">
        <v>-97.187380095950573</v>
      </c>
      <c r="E19" s="378">
        <v>-199.13047576341839</v>
      </c>
      <c r="F19" s="373">
        <v>-303.31244370565094</v>
      </c>
      <c r="G19" s="373">
        <v>-104.9351327897337</v>
      </c>
      <c r="H19" s="373">
        <v>-241.94323016319655</v>
      </c>
      <c r="I19" s="373">
        <v>-338.81189822498948</v>
      </c>
      <c r="J19" s="373">
        <v>-473.5611962866908</v>
      </c>
      <c r="K19" s="373">
        <v>-143.87873925667074</v>
      </c>
      <c r="L19" s="373">
        <v>-340.14385786087178</v>
      </c>
      <c r="M19" s="373">
        <v>-550.68097760368016</v>
      </c>
      <c r="N19" s="373">
        <v>-795.66488926243937</v>
      </c>
      <c r="O19" s="373">
        <v>-191.31525734780175</v>
      </c>
      <c r="P19" s="373">
        <v>-406.69782368840538</v>
      </c>
      <c r="Q19" s="373">
        <v>-647.69821776572735</v>
      </c>
      <c r="R19" s="373">
        <v>-910.83003570588346</v>
      </c>
      <c r="S19" s="373">
        <v>-254.87138370220796</v>
      </c>
      <c r="T19" s="374">
        <v>-552.80174510996824</v>
      </c>
    </row>
    <row r="20" spans="2:20" ht="15.6" thickTop="1" thickBot="1" x14ac:dyDescent="0.35">
      <c r="B20" s="368" t="s">
        <v>443</v>
      </c>
      <c r="C20" s="384" t="s">
        <v>443</v>
      </c>
      <c r="D20" s="379">
        <v>395.33956590405006</v>
      </c>
      <c r="E20" s="379">
        <v>1677.1659452365816</v>
      </c>
      <c r="F20" s="380">
        <v>2312.7901572943488</v>
      </c>
      <c r="G20" s="380">
        <v>1102.7520672102667</v>
      </c>
      <c r="H20" s="380">
        <v>4138.1951318368037</v>
      </c>
      <c r="I20" s="380">
        <v>6394.3963697750123</v>
      </c>
      <c r="J20" s="380">
        <v>8568.0009527133097</v>
      </c>
      <c r="K20" s="380">
        <v>2939.3550597433282</v>
      </c>
      <c r="L20" s="380">
        <v>8882.9584221391287</v>
      </c>
      <c r="M20" s="380">
        <v>12578.979071396318</v>
      </c>
      <c r="N20" s="380">
        <v>15729.061497737552</v>
      </c>
      <c r="O20" s="380">
        <v>5945.7410486521967</v>
      </c>
      <c r="P20" s="380">
        <v>9838.3682943115891</v>
      </c>
      <c r="Q20" s="380">
        <v>12087.142778234273</v>
      </c>
      <c r="R20" s="380">
        <v>14554.270191294119</v>
      </c>
      <c r="S20" s="380">
        <v>2658.7404922977921</v>
      </c>
      <c r="T20" s="381">
        <v>6843.8411768900323</v>
      </c>
    </row>
    <row r="21" spans="2:20" ht="15" customHeight="1" thickBot="1" x14ac:dyDescent="0.35">
      <c r="B21" s="390"/>
      <c r="C21" s="390"/>
      <c r="D21" s="391"/>
      <c r="E21" s="391"/>
      <c r="F21" s="391"/>
      <c r="G21" s="391"/>
      <c r="H21" s="391"/>
      <c r="I21" s="391"/>
      <c r="J21" s="391"/>
      <c r="K21" s="392"/>
      <c r="L21" s="392"/>
      <c r="M21" s="392"/>
      <c r="N21" s="392"/>
      <c r="O21" s="392"/>
      <c r="P21" s="392"/>
      <c r="Q21" s="392"/>
      <c r="R21" s="392"/>
      <c r="S21" s="392"/>
      <c r="T21" s="392"/>
    </row>
    <row r="22" spans="2:20" ht="29.4" thickTop="1" x14ac:dyDescent="0.3">
      <c r="B22" s="386" t="s">
        <v>475</v>
      </c>
      <c r="C22" s="387" t="s">
        <v>476</v>
      </c>
      <c r="D22" s="186">
        <v>2016</v>
      </c>
      <c r="E22" s="186">
        <v>2017</v>
      </c>
      <c r="F22" s="186">
        <v>2018</v>
      </c>
      <c r="G22" s="186">
        <v>2019</v>
      </c>
      <c r="H22" s="388">
        <v>2020</v>
      </c>
      <c r="I22" s="388">
        <v>2021</v>
      </c>
      <c r="J22" s="186">
        <v>2022</v>
      </c>
      <c r="K22" s="389">
        <v>2023</v>
      </c>
    </row>
    <row r="23" spans="2:20" x14ac:dyDescent="0.3">
      <c r="B23" s="285" t="s">
        <v>269</v>
      </c>
      <c r="C23" s="280" t="s">
        <v>451</v>
      </c>
      <c r="D23" s="369">
        <v>1015.4943420000001</v>
      </c>
      <c r="E23" s="369">
        <v>837.77375500000005</v>
      </c>
      <c r="F23" s="370">
        <v>626.95699999999999</v>
      </c>
      <c r="G23" s="370">
        <v>2361.5619999999999</v>
      </c>
      <c r="H23" s="370">
        <v>3584.9936440000001</v>
      </c>
      <c r="I23" s="370">
        <v>5006.5676350000003</v>
      </c>
      <c r="J23" s="370">
        <v>5162.5328600000003</v>
      </c>
      <c r="K23" s="371">
        <v>5210.509024</v>
      </c>
    </row>
    <row r="24" spans="2:20" x14ac:dyDescent="0.3">
      <c r="B24" s="286" t="s">
        <v>435</v>
      </c>
      <c r="C24" s="367" t="s">
        <v>415</v>
      </c>
      <c r="D24" s="372"/>
      <c r="E24" s="372"/>
      <c r="F24" s="373"/>
      <c r="G24" s="373"/>
      <c r="H24" s="373"/>
      <c r="I24" s="373">
        <v>0</v>
      </c>
      <c r="J24" s="373">
        <v>0</v>
      </c>
      <c r="K24" s="374">
        <v>-12</v>
      </c>
    </row>
    <row r="25" spans="2:20" x14ac:dyDescent="0.3">
      <c r="B25" s="286" t="s">
        <v>169</v>
      </c>
      <c r="C25" s="367" t="s">
        <v>447</v>
      </c>
      <c r="D25" s="372"/>
      <c r="E25" s="372"/>
      <c r="F25" s="373">
        <v>-164.44706500000001</v>
      </c>
      <c r="G25" s="373">
        <v>-492.32457199999999</v>
      </c>
      <c r="H25" s="373">
        <v>-669.37559699999997</v>
      </c>
      <c r="I25" s="373">
        <v>-664.92608700000005</v>
      </c>
      <c r="J25" s="373">
        <v>-966.62602900000002</v>
      </c>
      <c r="K25" s="374">
        <v>-1845.7358839999999</v>
      </c>
    </row>
    <row r="26" spans="2:20" x14ac:dyDescent="0.3">
      <c r="B26" s="286" t="s">
        <v>143</v>
      </c>
      <c r="C26" s="367" t="s">
        <v>449</v>
      </c>
      <c r="D26" s="372"/>
      <c r="E26" s="372"/>
      <c r="F26" s="373">
        <v>-72.527202000000003</v>
      </c>
      <c r="G26" s="373">
        <v>0</v>
      </c>
      <c r="H26" s="373">
        <v>-0.05</v>
      </c>
      <c r="I26" s="373">
        <v>-187.552145</v>
      </c>
      <c r="J26" s="373">
        <v>-218.97185999999999</v>
      </c>
      <c r="K26" s="374">
        <v>-342.17880000000002</v>
      </c>
    </row>
    <row r="27" spans="2:20" ht="15" thickBot="1" x14ac:dyDescent="0.35">
      <c r="B27" s="286" t="s">
        <v>398</v>
      </c>
      <c r="C27" s="367" t="s">
        <v>448</v>
      </c>
      <c r="D27" s="372"/>
      <c r="E27" s="372"/>
      <c r="F27" s="373">
        <v>42.755336999999997</v>
      </c>
      <c r="G27" s="373">
        <v>34.405726999999999</v>
      </c>
      <c r="H27" s="373">
        <v>39.092208999999997</v>
      </c>
      <c r="I27" s="373">
        <v>-37.050595000000001</v>
      </c>
      <c r="J27" s="373">
        <v>-242.81948199999999</v>
      </c>
      <c r="K27" s="374">
        <v>-324.99629800000002</v>
      </c>
    </row>
    <row r="28" spans="2:20" ht="15" thickTop="1" x14ac:dyDescent="0.3">
      <c r="B28" s="287" t="s">
        <v>139</v>
      </c>
      <c r="C28" s="279" t="s">
        <v>139</v>
      </c>
      <c r="D28" s="375">
        <v>712.66561700000011</v>
      </c>
      <c r="E28" s="375">
        <v>557.77375500000005</v>
      </c>
      <c r="F28" s="376">
        <v>432.95699999999999</v>
      </c>
      <c r="G28" s="376">
        <v>1903.6441900000002</v>
      </c>
      <c r="H28" s="376">
        <v>2954.6602560000001</v>
      </c>
      <c r="I28" s="376">
        <v>4117.0388080000012</v>
      </c>
      <c r="J28" s="376">
        <v>3734.1154890000003</v>
      </c>
      <c r="K28" s="377">
        <v>2685.4396700000002</v>
      </c>
    </row>
    <row r="29" spans="2:20" ht="15" thickBot="1" x14ac:dyDescent="0.35">
      <c r="B29" s="286" t="s">
        <v>442</v>
      </c>
      <c r="C29" s="383" t="s">
        <v>450</v>
      </c>
      <c r="D29" s="378"/>
      <c r="E29" s="378"/>
      <c r="F29" s="373"/>
      <c r="G29" s="373"/>
      <c r="H29" s="373"/>
      <c r="I29" s="373">
        <v>-92.914352103459748</v>
      </c>
      <c r="J29" s="373">
        <v>-204.93106698810311</v>
      </c>
      <c r="K29" s="374">
        <v>-261.23556628581281</v>
      </c>
    </row>
    <row r="30" spans="2:20" ht="15.6" thickTop="1" thickBot="1" x14ac:dyDescent="0.35">
      <c r="B30" s="368" t="s">
        <v>443</v>
      </c>
      <c r="C30" s="384" t="s">
        <v>443</v>
      </c>
      <c r="D30" s="379"/>
      <c r="E30" s="379"/>
      <c r="F30" s="380"/>
      <c r="G30" s="380"/>
      <c r="H30" s="380"/>
      <c r="I30" s="380">
        <v>4024.1244558965413</v>
      </c>
      <c r="J30" s="380">
        <v>3529.1844220118974</v>
      </c>
      <c r="K30" s="381">
        <v>2424.2041037141876</v>
      </c>
    </row>
    <row r="31" spans="2:20" ht="6.6" customHeight="1" thickBot="1" x14ac:dyDescent="0.35"/>
    <row r="32" spans="2:20" ht="28.8" x14ac:dyDescent="0.3">
      <c r="B32" s="281" t="s">
        <v>475</v>
      </c>
      <c r="C32" s="295" t="s">
        <v>476</v>
      </c>
      <c r="D32" s="282" t="s">
        <v>317</v>
      </c>
      <c r="E32" s="282" t="s">
        <v>319</v>
      </c>
      <c r="F32" s="282" t="s">
        <v>407</v>
      </c>
      <c r="G32" s="282" t="s">
        <v>441</v>
      </c>
      <c r="H32" s="282" t="s">
        <v>457</v>
      </c>
      <c r="I32" s="282" t="s">
        <v>458</v>
      </c>
      <c r="J32" s="282">
        <v>2021</v>
      </c>
      <c r="K32" s="282" t="s">
        <v>467</v>
      </c>
      <c r="L32" s="282" t="s">
        <v>468</v>
      </c>
      <c r="M32" s="282" t="s">
        <v>469</v>
      </c>
      <c r="N32" s="282">
        <f>+N12</f>
        <v>2022</v>
      </c>
      <c r="O32" s="282" t="s">
        <v>484</v>
      </c>
      <c r="P32" s="282" t="s">
        <v>487</v>
      </c>
      <c r="Q32" s="282" t="s">
        <v>488</v>
      </c>
      <c r="R32" s="282">
        <v>2023</v>
      </c>
      <c r="S32" s="282" t="s">
        <v>509</v>
      </c>
      <c r="T32" s="283" t="s">
        <v>517</v>
      </c>
    </row>
    <row r="33" spans="2:20" x14ac:dyDescent="0.3">
      <c r="B33" s="285" t="s">
        <v>269</v>
      </c>
      <c r="C33" s="280" t="s">
        <v>451</v>
      </c>
      <c r="D33" s="369">
        <v>854.14561300000003</v>
      </c>
      <c r="E33" s="369">
        <v>1826.483448</v>
      </c>
      <c r="F33" s="370">
        <v>2594.978384</v>
      </c>
      <c r="G33" s="370">
        <v>1276.776852</v>
      </c>
      <c r="H33" s="370">
        <v>2702.6757480000001</v>
      </c>
      <c r="I33" s="370">
        <v>3733.915207</v>
      </c>
      <c r="J33" s="370">
        <v>5006.5676350000003</v>
      </c>
      <c r="K33" s="370">
        <v>1654.382535</v>
      </c>
      <c r="L33" s="370">
        <v>3089.7707529999998</v>
      </c>
      <c r="M33" s="370">
        <v>4274.6351569999997</v>
      </c>
      <c r="N33" s="370">
        <v>5162.5328600000003</v>
      </c>
      <c r="O33" s="370">
        <v>1295.406117</v>
      </c>
      <c r="P33" s="370">
        <v>2610.6047739999999</v>
      </c>
      <c r="Q33" s="370">
        <v>3857.059988</v>
      </c>
      <c r="R33" s="370">
        <v>5210.509024</v>
      </c>
      <c r="S33" s="370">
        <v>1763.2569550000001</v>
      </c>
      <c r="T33" s="371">
        <v>3282.6511639999999</v>
      </c>
    </row>
    <row r="34" spans="2:20" x14ac:dyDescent="0.3">
      <c r="B34" s="286" t="s">
        <v>435</v>
      </c>
      <c r="C34" s="367" t="s">
        <v>415</v>
      </c>
      <c r="D34" s="372">
        <v>0</v>
      </c>
      <c r="E34" s="372">
        <v>0</v>
      </c>
      <c r="F34" s="373">
        <v>0</v>
      </c>
      <c r="G34" s="373">
        <v>0</v>
      </c>
      <c r="H34" s="373">
        <v>0</v>
      </c>
      <c r="I34" s="373">
        <v>0</v>
      </c>
      <c r="J34" s="373">
        <v>0</v>
      </c>
      <c r="K34" s="373">
        <v>0</v>
      </c>
      <c r="L34" s="373">
        <v>0</v>
      </c>
      <c r="M34" s="373">
        <v>0</v>
      </c>
      <c r="N34" s="373">
        <v>0</v>
      </c>
      <c r="O34" s="373">
        <v>0</v>
      </c>
      <c r="P34" s="373">
        <v>0</v>
      </c>
      <c r="Q34" s="373">
        <v>0</v>
      </c>
      <c r="R34" s="373">
        <v>-12</v>
      </c>
      <c r="S34" s="373">
        <v>0</v>
      </c>
      <c r="T34" s="374">
        <v>0.35066799999999998</v>
      </c>
    </row>
    <row r="35" spans="2:20" x14ac:dyDescent="0.3">
      <c r="B35" s="286" t="s">
        <v>169</v>
      </c>
      <c r="C35" s="367" t="s">
        <v>447</v>
      </c>
      <c r="D35" s="372">
        <v>-97.923658000000003</v>
      </c>
      <c r="E35" s="372">
        <v>-219.453802</v>
      </c>
      <c r="F35" s="373">
        <v>-355.53599600000001</v>
      </c>
      <c r="G35" s="373">
        <v>-136.47601900000001</v>
      </c>
      <c r="H35" s="373">
        <v>-309.18091099999998</v>
      </c>
      <c r="I35" s="373">
        <v>-481.19304899999997</v>
      </c>
      <c r="J35" s="373">
        <v>-664.92608700000005</v>
      </c>
      <c r="K35" s="373">
        <v>-169.77789999999999</v>
      </c>
      <c r="L35" s="373">
        <v>-408.86701699999998</v>
      </c>
      <c r="M35" s="373">
        <v>-652.44853699999999</v>
      </c>
      <c r="N35" s="373">
        <v>-966.62602900000002</v>
      </c>
      <c r="O35" s="373">
        <v>-326.32374900000002</v>
      </c>
      <c r="P35" s="373">
        <v>-756.04242999999997</v>
      </c>
      <c r="Q35" s="373">
        <v>-1233.4355539999999</v>
      </c>
      <c r="R35" s="373">
        <v>-1845.7358839999999</v>
      </c>
      <c r="S35" s="373">
        <v>-417.38628199999999</v>
      </c>
      <c r="T35" s="374">
        <v>-931.08979399999998</v>
      </c>
    </row>
    <row r="36" spans="2:20" x14ac:dyDescent="0.3">
      <c r="B36" s="286" t="s">
        <v>143</v>
      </c>
      <c r="C36" s="367" t="s">
        <v>449</v>
      </c>
      <c r="D36" s="372">
        <v>-26.198546</v>
      </c>
      <c r="E36" s="372">
        <v>-60.088492000000002</v>
      </c>
      <c r="F36" s="373">
        <v>-93.914191000000002</v>
      </c>
      <c r="G36" s="373">
        <v>-43.879548999999997</v>
      </c>
      <c r="H36" s="373">
        <v>-104.465412</v>
      </c>
      <c r="I36" s="373">
        <v>-138.330702</v>
      </c>
      <c r="J36" s="373">
        <v>-187.552145</v>
      </c>
      <c r="K36" s="373">
        <v>-49.738560999999997</v>
      </c>
      <c r="L36" s="373">
        <v>-99.955526000000006</v>
      </c>
      <c r="M36" s="373">
        <v>-158.25170600000001</v>
      </c>
      <c r="N36" s="373">
        <v>-218.97185999999999</v>
      </c>
      <c r="O36" s="373">
        <v>-70.750529</v>
      </c>
      <c r="P36" s="373">
        <v>-146.89648399999999</v>
      </c>
      <c r="Q36" s="373">
        <v>-248.59326999999999</v>
      </c>
      <c r="R36" s="373">
        <v>-342.17880000000002</v>
      </c>
      <c r="S36" s="373">
        <v>-115.884254</v>
      </c>
      <c r="T36" s="374">
        <v>-232.77795399999999</v>
      </c>
    </row>
    <row r="37" spans="2:20" ht="15" thickBot="1" x14ac:dyDescent="0.35">
      <c r="B37" s="286" t="s">
        <v>398</v>
      </c>
      <c r="C37" s="367" t="s">
        <v>448</v>
      </c>
      <c r="D37" s="372">
        <v>9.9680409999999995</v>
      </c>
      <c r="E37" s="372">
        <v>30.363389999999999</v>
      </c>
      <c r="F37" s="373">
        <v>39.576348000000003</v>
      </c>
      <c r="G37" s="373">
        <v>14.885300000000001</v>
      </c>
      <c r="H37" s="373">
        <v>18.763017999999999</v>
      </c>
      <c r="I37" s="373">
        <v>13.903919</v>
      </c>
      <c r="J37" s="373">
        <v>-37.050595000000001</v>
      </c>
      <c r="K37" s="373">
        <v>-37.687671000000002</v>
      </c>
      <c r="L37" s="373">
        <v>-99.042079000000001</v>
      </c>
      <c r="M37" s="373">
        <v>-180.868978</v>
      </c>
      <c r="N37" s="373">
        <v>-242.81948199999999</v>
      </c>
      <c r="O37" s="373">
        <v>-37.548814</v>
      </c>
      <c r="P37" s="373">
        <v>-32.474991000000003</v>
      </c>
      <c r="Q37" s="373">
        <v>-15.151009999999999</v>
      </c>
      <c r="R37" s="373">
        <v>-324.99629800000002</v>
      </c>
      <c r="S37" s="373">
        <v>-6.7211429999999996</v>
      </c>
      <c r="T37" s="374">
        <v>-9.858333</v>
      </c>
    </row>
    <row r="38" spans="2:20" ht="15" thickTop="1" x14ac:dyDescent="0.3">
      <c r="B38" s="287" t="s">
        <v>139</v>
      </c>
      <c r="C38" s="279" t="s">
        <v>139</v>
      </c>
      <c r="D38" s="375">
        <v>739.99144999999999</v>
      </c>
      <c r="E38" s="375">
        <v>1577.3045439999999</v>
      </c>
      <c r="F38" s="376">
        <v>2185.1045450000001</v>
      </c>
      <c r="G38" s="376">
        <v>1111.3065839999999</v>
      </c>
      <c r="H38" s="376">
        <v>2307.7924430000003</v>
      </c>
      <c r="I38" s="376">
        <v>3128.2953749999997</v>
      </c>
      <c r="J38" s="376">
        <v>4117.0388080000012</v>
      </c>
      <c r="K38" s="376">
        <v>1397.1784030000001</v>
      </c>
      <c r="L38" s="376">
        <v>2481.9061309999997</v>
      </c>
      <c r="M38" s="376">
        <v>3283.0659359999995</v>
      </c>
      <c r="N38" s="376">
        <v>3734.1154890000003</v>
      </c>
      <c r="O38" s="376">
        <v>860.78302499999995</v>
      </c>
      <c r="P38" s="376">
        <v>1675.190869</v>
      </c>
      <c r="Q38" s="376">
        <v>2359.8801540000004</v>
      </c>
      <c r="R38" s="376">
        <v>2685.4396700000002</v>
      </c>
      <c r="S38" s="376">
        <v>1223.2652760000001</v>
      </c>
      <c r="T38" s="377">
        <v>2109.2757509999997</v>
      </c>
    </row>
    <row r="39" spans="2:20" ht="15" thickBot="1" x14ac:dyDescent="0.35">
      <c r="B39" s="286" t="s">
        <v>442</v>
      </c>
      <c r="C39" s="383" t="s">
        <v>450</v>
      </c>
      <c r="D39" s="378">
        <v>-19.975341403388764</v>
      </c>
      <c r="E39" s="378">
        <v>-41.095917606512359</v>
      </c>
      <c r="F39" s="373">
        <v>-61.981117914942303</v>
      </c>
      <c r="G39" s="373">
        <v>-21.767786247282963</v>
      </c>
      <c r="H39" s="373">
        <v>-47.64396411346052</v>
      </c>
      <c r="I39" s="373">
        <v>-66.933164946165419</v>
      </c>
      <c r="J39" s="373">
        <v>-92.914352103459748</v>
      </c>
      <c r="K39" s="373">
        <v>-37.626731341152862</v>
      </c>
      <c r="L39" s="373">
        <v>-88.094079056491609</v>
      </c>
      <c r="M39" s="373">
        <v>-142.08520019984005</v>
      </c>
      <c r="N39" s="373">
        <v>-204.93106698810311</v>
      </c>
      <c r="O39" s="373">
        <v>-58.182710911359337</v>
      </c>
      <c r="P39" s="373">
        <v>-117.47462715102945</v>
      </c>
      <c r="Q39" s="373">
        <v>-186.38933809677661</v>
      </c>
      <c r="R39" s="373">
        <v>-261.23556628581281</v>
      </c>
      <c r="S39" s="373">
        <v>-75.016719322703267</v>
      </c>
      <c r="T39" s="374">
        <v>-159.97198321942926</v>
      </c>
    </row>
    <row r="40" spans="2:20" ht="15.6" thickTop="1" thickBot="1" x14ac:dyDescent="0.35">
      <c r="B40" s="368" t="s">
        <v>443</v>
      </c>
      <c r="C40" s="384" t="s">
        <v>443</v>
      </c>
      <c r="D40" s="379">
        <v>720.01610859661128</v>
      </c>
      <c r="E40" s="379">
        <v>1536.2086263934875</v>
      </c>
      <c r="F40" s="380">
        <v>2123.1234270850578</v>
      </c>
      <c r="G40" s="380">
        <v>1089.5387977527171</v>
      </c>
      <c r="H40" s="380">
        <v>2260.1484788865396</v>
      </c>
      <c r="I40" s="380">
        <v>3061.3622100538341</v>
      </c>
      <c r="J40" s="380">
        <v>4024.1244558965413</v>
      </c>
      <c r="K40" s="380">
        <v>1359.5516716588472</v>
      </c>
      <c r="L40" s="380">
        <v>2393.8120519435083</v>
      </c>
      <c r="M40" s="380">
        <v>3140.9807358001594</v>
      </c>
      <c r="N40" s="380">
        <v>3529.1844220118974</v>
      </c>
      <c r="O40" s="380">
        <v>802.60031408864063</v>
      </c>
      <c r="P40" s="380">
        <v>1557.7162418489706</v>
      </c>
      <c r="Q40" s="380">
        <v>2173.4908159032238</v>
      </c>
      <c r="R40" s="380">
        <v>2424.2041037141876</v>
      </c>
      <c r="S40" s="380">
        <v>1148.2485566772968</v>
      </c>
      <c r="T40" s="381">
        <v>1949.3037677805705</v>
      </c>
    </row>
    <row r="41" spans="2:20" ht="14.4" customHeight="1" thickBot="1" x14ac:dyDescent="0.35">
      <c r="B41" s="390"/>
      <c r="C41" s="390"/>
      <c r="D41" s="391"/>
      <c r="E41" s="391"/>
      <c r="F41" s="391"/>
      <c r="G41" s="391"/>
      <c r="H41" s="391"/>
      <c r="I41" s="391"/>
      <c r="J41" s="391"/>
      <c r="K41" s="392"/>
      <c r="L41" s="392"/>
      <c r="M41" s="392"/>
      <c r="N41" s="392"/>
      <c r="O41" s="392"/>
      <c r="P41" s="392"/>
      <c r="Q41" s="392"/>
      <c r="R41" s="392"/>
      <c r="S41" s="392"/>
      <c r="T41" s="392"/>
    </row>
    <row r="42" spans="2:20" ht="15" thickTop="1" x14ac:dyDescent="0.3">
      <c r="B42" s="281" t="s">
        <v>444</v>
      </c>
      <c r="C42" s="295" t="s">
        <v>452</v>
      </c>
      <c r="D42" s="282">
        <v>2016</v>
      </c>
      <c r="E42" s="282">
        <v>2017</v>
      </c>
      <c r="F42" s="282">
        <v>2018</v>
      </c>
      <c r="G42" s="282">
        <v>2019</v>
      </c>
      <c r="H42" s="282">
        <v>2020</v>
      </c>
      <c r="I42" s="282">
        <v>2021</v>
      </c>
      <c r="J42" s="282">
        <v>2022</v>
      </c>
      <c r="K42" s="283">
        <v>2023</v>
      </c>
    </row>
    <row r="43" spans="2:20" x14ac:dyDescent="0.3">
      <c r="B43" s="285" t="s">
        <v>269</v>
      </c>
      <c r="C43" s="280" t="s">
        <v>451</v>
      </c>
      <c r="D43" s="369">
        <v>3897.1971610000001</v>
      </c>
      <c r="E43" s="369">
        <v>6216.3799730000001</v>
      </c>
      <c r="F43" s="370">
        <v>7581.6869999999999</v>
      </c>
      <c r="G43" s="370">
        <v>9558.2109999999993</v>
      </c>
      <c r="H43" s="370">
        <v>10746.656838999999</v>
      </c>
      <c r="I43" s="370">
        <v>3305.4692789999999</v>
      </c>
      <c r="J43" s="370">
        <v>5087.8212620000004</v>
      </c>
      <c r="K43" s="371">
        <v>4902.9370859999999</v>
      </c>
    </row>
    <row r="44" spans="2:20" x14ac:dyDescent="0.3">
      <c r="B44" s="286" t="s">
        <v>435</v>
      </c>
      <c r="C44" s="367" t="s">
        <v>415</v>
      </c>
      <c r="D44" s="372"/>
      <c r="E44" s="372"/>
      <c r="F44" s="373"/>
      <c r="G44" s="373"/>
      <c r="H44" s="373"/>
      <c r="I44" s="373">
        <v>135.43105199999999</v>
      </c>
      <c r="J44" s="373">
        <v>217.53115199999999</v>
      </c>
      <c r="K44" s="374">
        <v>274</v>
      </c>
    </row>
    <row r="45" spans="2:20" x14ac:dyDescent="0.3">
      <c r="B45" s="286" t="s">
        <v>169</v>
      </c>
      <c r="C45" s="367" t="s">
        <v>447</v>
      </c>
      <c r="D45" s="372"/>
      <c r="E45" s="372"/>
      <c r="F45" s="373">
        <v>-4926.3543970000001</v>
      </c>
      <c r="G45" s="373">
        <v>-5747.9749039999997</v>
      </c>
      <c r="H45" s="373">
        <v>-7808.7500980000004</v>
      </c>
      <c r="I45" s="373">
        <v>-1379.3160600000001</v>
      </c>
      <c r="J45" s="373">
        <v>-2675.0758329999999</v>
      </c>
      <c r="K45" s="374">
        <v>-2180.7128929999999</v>
      </c>
    </row>
    <row r="46" spans="2:20" x14ac:dyDescent="0.3">
      <c r="B46" s="286" t="s">
        <v>143</v>
      </c>
      <c r="C46" s="367" t="s">
        <v>449</v>
      </c>
      <c r="D46" s="372"/>
      <c r="E46" s="372"/>
      <c r="F46" s="373">
        <v>-1611.2658750000001</v>
      </c>
      <c r="G46" s="373">
        <v>-1942.7011560000001</v>
      </c>
      <c r="H46" s="373">
        <v>-2445.5793829999998</v>
      </c>
      <c r="I46" s="373">
        <v>-1413.1897839999999</v>
      </c>
      <c r="J46" s="373">
        <v>-2116.022586</v>
      </c>
      <c r="K46" s="374">
        <v>-2048.0343109999999</v>
      </c>
    </row>
    <row r="47" spans="2:20" ht="15" thickBot="1" x14ac:dyDescent="0.35">
      <c r="B47" s="286" t="s">
        <v>398</v>
      </c>
      <c r="C47" s="367" t="s">
        <v>448</v>
      </c>
      <c r="D47" s="372"/>
      <c r="E47" s="372"/>
      <c r="F47" s="373">
        <v>212.96696299999999</v>
      </c>
      <c r="G47" s="373">
        <v>-54.346029000000001</v>
      </c>
      <c r="H47" s="373">
        <v>-94.563053999999994</v>
      </c>
      <c r="I47" s="373">
        <v>47.844014000000001</v>
      </c>
      <c r="J47" s="373">
        <v>-93.284132</v>
      </c>
      <c r="K47" s="374">
        <v>84.951785999999998</v>
      </c>
    </row>
    <row r="48" spans="2:20" ht="15" thickTop="1" x14ac:dyDescent="0.3">
      <c r="B48" s="287" t="s">
        <v>139</v>
      </c>
      <c r="C48" s="279" t="s">
        <v>139</v>
      </c>
      <c r="D48" s="375">
        <v>763.58220399999982</v>
      </c>
      <c r="E48" s="375">
        <v>1167.3799730000001</v>
      </c>
      <c r="F48" s="376">
        <v>1256.6869999999999</v>
      </c>
      <c r="G48" s="376">
        <v>1813.1889260000007</v>
      </c>
      <c r="H48" s="376">
        <v>440.90204499999953</v>
      </c>
      <c r="I48" s="376">
        <v>696.23850099999981</v>
      </c>
      <c r="J48" s="376">
        <v>420.96986300000003</v>
      </c>
      <c r="K48" s="377">
        <v>1033.0811400000002</v>
      </c>
    </row>
    <row r="49" spans="2:20" ht="15" thickBot="1" x14ac:dyDescent="0.35">
      <c r="B49" s="286" t="s">
        <v>442</v>
      </c>
      <c r="C49" s="383" t="s">
        <v>450</v>
      </c>
      <c r="D49" s="378"/>
      <c r="E49" s="378"/>
      <c r="F49" s="373"/>
      <c r="G49" s="373"/>
      <c r="H49" s="373"/>
      <c r="I49" s="373">
        <v>-731.25173141553296</v>
      </c>
      <c r="J49" s="373">
        <v>-869.43517401703593</v>
      </c>
      <c r="K49" s="374">
        <v>-1072.887015156298</v>
      </c>
    </row>
    <row r="50" spans="2:20" ht="15.6" thickTop="1" thickBot="1" x14ac:dyDescent="0.35">
      <c r="B50" s="368" t="s">
        <v>443</v>
      </c>
      <c r="C50" s="384" t="s">
        <v>443</v>
      </c>
      <c r="D50" s="379"/>
      <c r="E50" s="379"/>
      <c r="F50" s="380"/>
      <c r="G50" s="380"/>
      <c r="H50" s="380"/>
      <c r="I50" s="380">
        <v>-35.013230415533144</v>
      </c>
      <c r="J50" s="380">
        <v>-448.4653110170359</v>
      </c>
      <c r="K50" s="381">
        <v>-39.805875156297816</v>
      </c>
    </row>
    <row r="51" spans="2:20" ht="8.4" customHeight="1" thickBot="1" x14ac:dyDescent="0.35"/>
    <row r="52" spans="2:20" x14ac:dyDescent="0.3">
      <c r="B52" s="281" t="s">
        <v>444</v>
      </c>
      <c r="C52" s="295" t="s">
        <v>452</v>
      </c>
      <c r="D52" s="282" t="s">
        <v>317</v>
      </c>
      <c r="E52" s="282" t="s">
        <v>319</v>
      </c>
      <c r="F52" s="282" t="s">
        <v>407</v>
      </c>
      <c r="G52" s="282" t="s">
        <v>441</v>
      </c>
      <c r="H52" s="282" t="s">
        <v>457</v>
      </c>
      <c r="I52" s="282" t="s">
        <v>458</v>
      </c>
      <c r="J52" s="282">
        <v>2021</v>
      </c>
      <c r="K52" s="282" t="s">
        <v>467</v>
      </c>
      <c r="L52" s="282" t="s">
        <v>468</v>
      </c>
      <c r="M52" s="282" t="s">
        <v>469</v>
      </c>
      <c r="N52" s="282">
        <f>+N32</f>
        <v>2022</v>
      </c>
      <c r="O52" s="282" t="s">
        <v>484</v>
      </c>
      <c r="P52" s="282" t="s">
        <v>487</v>
      </c>
      <c r="Q52" s="282" t="s">
        <v>488</v>
      </c>
      <c r="R52" s="282">
        <v>2023</v>
      </c>
      <c r="S52" s="282" t="s">
        <v>509</v>
      </c>
      <c r="T52" s="283" t="s">
        <v>517</v>
      </c>
    </row>
    <row r="53" spans="2:20" x14ac:dyDescent="0.3">
      <c r="B53" s="285" t="s">
        <v>269</v>
      </c>
      <c r="C53" s="280" t="s">
        <v>451</v>
      </c>
      <c r="D53" s="369">
        <v>1015.393445</v>
      </c>
      <c r="E53" s="369">
        <v>2023.3077780000001</v>
      </c>
      <c r="F53" s="370">
        <v>3654.9203689999999</v>
      </c>
      <c r="G53" s="370">
        <v>688.93179999999995</v>
      </c>
      <c r="H53" s="370">
        <v>1486.5342499999999</v>
      </c>
      <c r="I53" s="370">
        <v>2363.8770770000001</v>
      </c>
      <c r="J53" s="370">
        <v>3305.4692789999999</v>
      </c>
      <c r="K53" s="370">
        <v>849.68527300000005</v>
      </c>
      <c r="L53" s="370">
        <v>1776.717549</v>
      </c>
      <c r="M53" s="370">
        <v>3097.9595060000001</v>
      </c>
      <c r="N53" s="370">
        <v>5087.8212620000004</v>
      </c>
      <c r="O53" s="370">
        <v>1165.400447</v>
      </c>
      <c r="P53" s="370">
        <v>2161.7748710000001</v>
      </c>
      <c r="Q53" s="370">
        <v>3342.323934</v>
      </c>
      <c r="R53" s="370">
        <v>4902.9370859999999</v>
      </c>
      <c r="S53" s="370">
        <v>1024.851265</v>
      </c>
      <c r="T53" s="371">
        <v>2331.6943970000002</v>
      </c>
    </row>
    <row r="54" spans="2:20" x14ac:dyDescent="0.3">
      <c r="B54" s="286" t="s">
        <v>435</v>
      </c>
      <c r="C54" s="367" t="s">
        <v>415</v>
      </c>
      <c r="D54" s="372">
        <v>5.4641719999999996</v>
      </c>
      <c r="E54" s="372">
        <v>9.960032</v>
      </c>
      <c r="F54" s="373">
        <v>15.245792</v>
      </c>
      <c r="G54" s="373">
        <v>32.358257999999999</v>
      </c>
      <c r="H54" s="373">
        <v>65.924637000000004</v>
      </c>
      <c r="I54" s="373">
        <v>103.444453</v>
      </c>
      <c r="J54" s="373">
        <v>135.43105199999999</v>
      </c>
      <c r="K54" s="373">
        <v>47.328283999999996</v>
      </c>
      <c r="L54" s="373">
        <v>-733.72254799999996</v>
      </c>
      <c r="M54" s="373">
        <v>150.01679799999999</v>
      </c>
      <c r="N54" s="373">
        <v>217.53115199999999</v>
      </c>
      <c r="O54" s="373">
        <v>53.668194999999997</v>
      </c>
      <c r="P54" s="373">
        <v>115</v>
      </c>
      <c r="Q54" s="373">
        <v>203</v>
      </c>
      <c r="R54" s="373">
        <v>-2180.7128929999999</v>
      </c>
      <c r="S54" s="373">
        <v>98.876215000000002</v>
      </c>
      <c r="T54" s="374">
        <v>231.751462</v>
      </c>
    </row>
    <row r="55" spans="2:20" x14ac:dyDescent="0.3">
      <c r="B55" s="286" t="s">
        <v>169</v>
      </c>
      <c r="C55" s="367" t="s">
        <v>447</v>
      </c>
      <c r="D55" s="372">
        <v>-506.50804599999998</v>
      </c>
      <c r="E55" s="372">
        <v>-1053.871431</v>
      </c>
      <c r="F55" s="373">
        <v>-2137.8035319999999</v>
      </c>
      <c r="G55" s="373">
        <v>-220.83137099999999</v>
      </c>
      <c r="H55" s="373">
        <v>-597.042506</v>
      </c>
      <c r="I55" s="373">
        <v>-872.09309800000005</v>
      </c>
      <c r="J55" s="373">
        <v>-1379.3160600000001</v>
      </c>
      <c r="K55" s="373">
        <v>-355.37791800000002</v>
      </c>
      <c r="L55" s="373">
        <v>-861.08646099999999</v>
      </c>
      <c r="M55" s="373">
        <v>-1412.684769</v>
      </c>
      <c r="N55" s="373">
        <v>-2675.0758329999999</v>
      </c>
      <c r="O55" s="373">
        <v>-487.349425</v>
      </c>
      <c r="P55" s="373">
        <v>-831.47333200000003</v>
      </c>
      <c r="Q55" s="373">
        <v>-1379.161319</v>
      </c>
      <c r="R55" s="373">
        <v>-2048.0343109999999</v>
      </c>
      <c r="S55" s="373">
        <v>-301.90320800000001</v>
      </c>
      <c r="T55" s="374">
        <v>-909.811868</v>
      </c>
    </row>
    <row r="56" spans="2:20" x14ac:dyDescent="0.3">
      <c r="B56" s="286" t="s">
        <v>143</v>
      </c>
      <c r="C56" s="367" t="s">
        <v>449</v>
      </c>
      <c r="D56" s="372">
        <v>-288.73344300000002</v>
      </c>
      <c r="E56" s="372">
        <v>-573.52782200000001</v>
      </c>
      <c r="F56" s="373">
        <v>-901.34715700000004</v>
      </c>
      <c r="G56" s="373">
        <v>-304.824772</v>
      </c>
      <c r="H56" s="373">
        <v>-770.649764</v>
      </c>
      <c r="I56" s="373">
        <v>-1032.0800830000001</v>
      </c>
      <c r="J56" s="373">
        <v>-1413.1897839999999</v>
      </c>
      <c r="K56" s="373">
        <v>-373.97345300000001</v>
      </c>
      <c r="L56" s="373">
        <v>98.553075000000007</v>
      </c>
      <c r="M56" s="373">
        <v>-1375.2865830000001</v>
      </c>
      <c r="N56" s="373">
        <v>-2116.022586</v>
      </c>
      <c r="O56" s="373">
        <v>-467.85237499999999</v>
      </c>
      <c r="P56" s="373">
        <v>-965.53879900000004</v>
      </c>
      <c r="Q56" s="373">
        <v>-1490.730483</v>
      </c>
      <c r="R56" s="373">
        <v>84.951785999999998</v>
      </c>
      <c r="S56" s="373">
        <v>-668.82412099999999</v>
      </c>
      <c r="T56" s="374">
        <v>-1387.831651</v>
      </c>
    </row>
    <row r="57" spans="2:20" ht="15" thickBot="1" x14ac:dyDescent="0.35">
      <c r="B57" s="286" t="s">
        <v>398</v>
      </c>
      <c r="C57" s="367" t="s">
        <v>448</v>
      </c>
      <c r="D57" s="372">
        <v>-7.3820999999999998E-2</v>
      </c>
      <c r="E57" s="372">
        <v>4.5116999999999997E-2</v>
      </c>
      <c r="F57" s="373">
        <v>0.58073699999999995</v>
      </c>
      <c r="G57" s="373">
        <v>28.512644000000002</v>
      </c>
      <c r="H57" s="373">
        <v>74.906482999999994</v>
      </c>
      <c r="I57" s="373">
        <v>47.587017000000003</v>
      </c>
      <c r="J57" s="373">
        <v>47.844014000000001</v>
      </c>
      <c r="K57" s="373">
        <v>2.3208449999999998</v>
      </c>
      <c r="L57" s="373">
        <v>0</v>
      </c>
      <c r="M57" s="373">
        <v>0.31525599999999998</v>
      </c>
      <c r="N57" s="373">
        <v>-93.284132</v>
      </c>
      <c r="O57" s="373">
        <v>102.31748899999999</v>
      </c>
      <c r="P57" s="373">
        <v>94.269717</v>
      </c>
      <c r="Q57" s="373">
        <v>94.107856999999996</v>
      </c>
      <c r="R57" s="373">
        <v>274</v>
      </c>
      <c r="S57" s="373">
        <v>0.101077</v>
      </c>
      <c r="T57" s="374">
        <v>0.38366099999999997</v>
      </c>
    </row>
    <row r="58" spans="2:20" ht="15" thickTop="1" x14ac:dyDescent="0.3">
      <c r="B58" s="287" t="s">
        <v>139</v>
      </c>
      <c r="C58" s="279" t="s">
        <v>139</v>
      </c>
      <c r="D58" s="375">
        <v>225.54230699999994</v>
      </c>
      <c r="E58" s="375">
        <v>405.91367400000001</v>
      </c>
      <c r="F58" s="376">
        <v>631.59620900000016</v>
      </c>
      <c r="G58" s="376">
        <v>224.14655899999994</v>
      </c>
      <c r="H58" s="376">
        <v>259.67309999999998</v>
      </c>
      <c r="I58" s="376">
        <v>610.73536600000011</v>
      </c>
      <c r="J58" s="376">
        <v>696.23850099999981</v>
      </c>
      <c r="K58" s="376">
        <v>169.98303099999995</v>
      </c>
      <c r="L58" s="376">
        <v>280.46161500000005</v>
      </c>
      <c r="M58" s="376">
        <v>460.32020800000021</v>
      </c>
      <c r="N58" s="376">
        <v>420.96986300000003</v>
      </c>
      <c r="O58" s="376">
        <v>366.28433099999984</v>
      </c>
      <c r="P58" s="376">
        <v>573.77388300000007</v>
      </c>
      <c r="Q58" s="376">
        <v>769.81299399999989</v>
      </c>
      <c r="R58" s="376">
        <v>1033.0811400000002</v>
      </c>
      <c r="S58" s="376">
        <v>153.10122800000008</v>
      </c>
      <c r="T58" s="377">
        <v>266.18600100000043</v>
      </c>
    </row>
    <row r="59" spans="2:20" ht="15" thickBot="1" x14ac:dyDescent="0.35">
      <c r="B59" s="286" t="s">
        <v>442</v>
      </c>
      <c r="C59" s="383" t="s">
        <v>450</v>
      </c>
      <c r="D59" s="378">
        <v>-141.84665053010468</v>
      </c>
      <c r="E59" s="378">
        <v>-286.41107129417361</v>
      </c>
      <c r="F59" s="373">
        <v>-445.97766547854678</v>
      </c>
      <c r="G59" s="373">
        <v>-158.4335076650265</v>
      </c>
      <c r="H59" s="373">
        <v>-369.30169574631947</v>
      </c>
      <c r="I59" s="373">
        <v>-520.55986153741094</v>
      </c>
      <c r="J59" s="373">
        <v>-731.25173141553296</v>
      </c>
      <c r="K59" s="373">
        <v>-157.50818332603927</v>
      </c>
      <c r="L59" s="373">
        <v>-374.36518526391552</v>
      </c>
      <c r="M59" s="373">
        <v>-603.88383941806467</v>
      </c>
      <c r="N59" s="373">
        <v>-869.43517401703593</v>
      </c>
      <c r="O59" s="373">
        <v>-212.52458024994667</v>
      </c>
      <c r="P59" s="373">
        <v>-472.11341686672085</v>
      </c>
      <c r="Q59" s="373">
        <v>-758.96442703949072</v>
      </c>
      <c r="R59" s="373">
        <v>-1072.887015156298</v>
      </c>
      <c r="S59" s="373">
        <v>-290.00384888661932</v>
      </c>
      <c r="T59" s="374">
        <v>-624.51551853522096</v>
      </c>
    </row>
    <row r="60" spans="2:20" ht="15.6" thickTop="1" thickBot="1" x14ac:dyDescent="0.35">
      <c r="B60" s="368" t="s">
        <v>443</v>
      </c>
      <c r="C60" s="384" t="s">
        <v>443</v>
      </c>
      <c r="D60" s="379">
        <v>83.695656469895255</v>
      </c>
      <c r="E60" s="379">
        <v>119.5026027058264</v>
      </c>
      <c r="F60" s="380">
        <v>185.61854352145338</v>
      </c>
      <c r="G60" s="380">
        <v>65.713051334973443</v>
      </c>
      <c r="H60" s="380">
        <v>-109.62859574631949</v>
      </c>
      <c r="I60" s="380">
        <v>90.175504462589174</v>
      </c>
      <c r="J60" s="380">
        <v>-35.013230415533144</v>
      </c>
      <c r="K60" s="380">
        <v>12.474847673960682</v>
      </c>
      <c r="L60" s="380">
        <v>-93.903570263915469</v>
      </c>
      <c r="M60" s="380">
        <v>-143.56363141806446</v>
      </c>
      <c r="N60" s="380">
        <v>-448.4653110170359</v>
      </c>
      <c r="O60" s="380">
        <v>153.75975075005317</v>
      </c>
      <c r="P60" s="380">
        <v>101.66046613327921</v>
      </c>
      <c r="Q60" s="380">
        <v>10.848566960509174</v>
      </c>
      <c r="R60" s="380">
        <v>-39.805875156297816</v>
      </c>
      <c r="S60" s="380">
        <v>-136.90262088661925</v>
      </c>
      <c r="T60" s="381">
        <v>-358.32951753522053</v>
      </c>
    </row>
    <row r="61" spans="2:20" ht="9.6" customHeight="1" thickBot="1" x14ac:dyDescent="0.35">
      <c r="B61" s="390"/>
      <c r="C61" s="390"/>
      <c r="D61" s="391"/>
      <c r="E61" s="391"/>
      <c r="F61" s="391"/>
      <c r="G61" s="391"/>
      <c r="H61" s="391"/>
      <c r="I61" s="391"/>
      <c r="J61" s="391"/>
      <c r="K61" s="392"/>
      <c r="L61" s="392"/>
      <c r="M61" s="392"/>
      <c r="N61" s="392"/>
      <c r="O61" s="392"/>
      <c r="P61" s="392"/>
      <c r="Q61" s="392"/>
      <c r="R61" s="392"/>
      <c r="S61" s="392"/>
      <c r="T61" s="392"/>
    </row>
    <row r="62" spans="2:20" ht="29.4" thickTop="1" x14ac:dyDescent="0.3">
      <c r="B62" s="281" t="s">
        <v>485</v>
      </c>
      <c r="C62" s="295" t="s">
        <v>486</v>
      </c>
      <c r="D62" s="282">
        <v>2022</v>
      </c>
      <c r="E62" s="283">
        <v>2023</v>
      </c>
    </row>
    <row r="63" spans="2:20" x14ac:dyDescent="0.3">
      <c r="B63" s="285" t="s">
        <v>269</v>
      </c>
      <c r="C63" s="280" t="s">
        <v>451</v>
      </c>
      <c r="D63" s="370">
        <v>1221.6071790000001</v>
      </c>
      <c r="E63" s="371">
        <v>4268.3273939999999</v>
      </c>
    </row>
    <row r="64" spans="2:20" x14ac:dyDescent="0.3">
      <c r="B64" s="286" t="s">
        <v>435</v>
      </c>
      <c r="C64" s="367" t="s">
        <v>415</v>
      </c>
      <c r="D64" s="373">
        <v>11.276992</v>
      </c>
      <c r="E64" s="374">
        <v>0</v>
      </c>
    </row>
    <row r="65" spans="2:20" x14ac:dyDescent="0.3">
      <c r="B65" s="286" t="s">
        <v>169</v>
      </c>
      <c r="C65" s="367" t="s">
        <v>447</v>
      </c>
      <c r="D65" s="373">
        <v>-1038.5926059999999</v>
      </c>
      <c r="E65" s="374">
        <v>-2715.1674640000001</v>
      </c>
    </row>
    <row r="66" spans="2:20" x14ac:dyDescent="0.3">
      <c r="B66" s="286" t="s">
        <v>143</v>
      </c>
      <c r="C66" s="367" t="s">
        <v>449</v>
      </c>
      <c r="D66" s="373">
        <v>-277.95040499999999</v>
      </c>
      <c r="E66" s="374">
        <v>-887.35918000000004</v>
      </c>
    </row>
    <row r="67" spans="2:20" ht="15" thickBot="1" x14ac:dyDescent="0.35">
      <c r="B67" s="286" t="s">
        <v>398</v>
      </c>
      <c r="C67" s="367" t="s">
        <v>448</v>
      </c>
      <c r="D67" s="373">
        <v>-36.047739</v>
      </c>
      <c r="E67" s="374">
        <v>69.181099000000003</v>
      </c>
    </row>
    <row r="68" spans="2:20" ht="15" thickTop="1" x14ac:dyDescent="0.3">
      <c r="B68" s="287" t="s">
        <v>139</v>
      </c>
      <c r="C68" s="279" t="s">
        <v>139</v>
      </c>
      <c r="D68" s="376">
        <v>-119.70657899999983</v>
      </c>
      <c r="E68" s="377">
        <v>734.98184899999978</v>
      </c>
    </row>
    <row r="69" spans="2:20" ht="15" thickBot="1" x14ac:dyDescent="0.35">
      <c r="B69" s="286" t="s">
        <v>442</v>
      </c>
      <c r="C69" s="383" t="s">
        <v>450</v>
      </c>
      <c r="D69" s="373">
        <v>-52.455238660078351</v>
      </c>
      <c r="E69" s="374">
        <v>-307.92021485523162</v>
      </c>
    </row>
    <row r="70" spans="2:20" ht="15.6" thickTop="1" thickBot="1" x14ac:dyDescent="0.35">
      <c r="B70" s="368" t="s">
        <v>443</v>
      </c>
      <c r="C70" s="384" t="s">
        <v>443</v>
      </c>
      <c r="D70" s="380">
        <v>-172.16181766007819</v>
      </c>
      <c r="E70" s="381">
        <v>427.06163414476816</v>
      </c>
    </row>
    <row r="71" spans="2:20" ht="7.8" customHeight="1" thickBot="1" x14ac:dyDescent="0.35">
      <c r="D71" s="83"/>
      <c r="E71" s="83"/>
      <c r="F71" s="83"/>
      <c r="G71" s="83"/>
      <c r="H71" s="83"/>
      <c r="I71" s="83"/>
      <c r="J71" s="83"/>
    </row>
    <row r="72" spans="2:20" ht="28.8" x14ac:dyDescent="0.3">
      <c r="B72" s="281" t="s">
        <v>485</v>
      </c>
      <c r="C72" s="295" t="s">
        <v>486</v>
      </c>
      <c r="D72" s="282" t="s">
        <v>317</v>
      </c>
      <c r="E72" s="282" t="s">
        <v>319</v>
      </c>
      <c r="F72" s="282" t="s">
        <v>407</v>
      </c>
      <c r="G72" s="282" t="s">
        <v>441</v>
      </c>
      <c r="H72" s="282" t="s">
        <v>457</v>
      </c>
      <c r="I72" s="282" t="s">
        <v>458</v>
      </c>
      <c r="J72" s="282">
        <v>2021</v>
      </c>
      <c r="K72" s="282" t="s">
        <v>467</v>
      </c>
      <c r="L72" s="282" t="s">
        <v>468</v>
      </c>
      <c r="M72" s="282" t="s">
        <v>469</v>
      </c>
      <c r="N72" s="282">
        <v>2022</v>
      </c>
      <c r="O72" s="282" t="s">
        <v>484</v>
      </c>
      <c r="P72" s="282" t="s">
        <v>487</v>
      </c>
      <c r="Q72" s="282" t="s">
        <v>488</v>
      </c>
      <c r="R72" s="282">
        <v>2023</v>
      </c>
      <c r="S72" s="282" t="s">
        <v>509</v>
      </c>
      <c r="T72" s="283" t="s">
        <v>517</v>
      </c>
    </row>
    <row r="73" spans="2:20" x14ac:dyDescent="0.3">
      <c r="B73" s="285" t="s">
        <v>269</v>
      </c>
      <c r="C73" s="280" t="s">
        <v>451</v>
      </c>
      <c r="D73" s="369"/>
      <c r="E73" s="369"/>
      <c r="F73" s="370"/>
      <c r="G73" s="370"/>
      <c r="H73" s="370"/>
      <c r="I73" s="370"/>
      <c r="J73" s="370"/>
      <c r="K73" s="370">
        <v>95.777626999999995</v>
      </c>
      <c r="L73" s="370">
        <v>195.429124</v>
      </c>
      <c r="M73" s="370">
        <v>292.74468300000001</v>
      </c>
      <c r="N73" s="370">
        <v>1221.6071790000001</v>
      </c>
      <c r="O73" s="370">
        <v>927.528008</v>
      </c>
      <c r="P73" s="370">
        <v>2008.4800310000001</v>
      </c>
      <c r="Q73" s="370">
        <v>3102.8683150000002</v>
      </c>
      <c r="R73" s="370">
        <v>4268.3273939999999</v>
      </c>
      <c r="S73" s="370">
        <v>1151.196604</v>
      </c>
      <c r="T73" s="371">
        <v>2365.845292</v>
      </c>
    </row>
    <row r="74" spans="2:20" x14ac:dyDescent="0.3">
      <c r="B74" s="286" t="s">
        <v>435</v>
      </c>
      <c r="C74" s="367" t="s">
        <v>415</v>
      </c>
      <c r="D74" s="372"/>
      <c r="E74" s="372"/>
      <c r="F74" s="373"/>
      <c r="G74" s="373"/>
      <c r="H74" s="373"/>
      <c r="I74" s="373"/>
      <c r="J74" s="373"/>
      <c r="K74" s="373">
        <v>0</v>
      </c>
      <c r="L74" s="373"/>
      <c r="M74" s="373"/>
      <c r="N74" s="373">
        <v>11.276992</v>
      </c>
      <c r="O74" s="373">
        <v>0</v>
      </c>
      <c r="P74" s="373"/>
      <c r="Q74" s="373"/>
      <c r="R74" s="373">
        <v>0</v>
      </c>
      <c r="S74" s="373">
        <v>0</v>
      </c>
      <c r="T74" s="374">
        <v>0</v>
      </c>
    </row>
    <row r="75" spans="2:20" x14ac:dyDescent="0.3">
      <c r="B75" s="286" t="s">
        <v>169</v>
      </c>
      <c r="C75" s="367" t="s">
        <v>447</v>
      </c>
      <c r="D75" s="372"/>
      <c r="E75" s="372"/>
      <c r="F75" s="373"/>
      <c r="G75" s="373"/>
      <c r="H75" s="373"/>
      <c r="I75" s="373"/>
      <c r="J75" s="373"/>
      <c r="K75" s="373">
        <v>0</v>
      </c>
      <c r="L75" s="373">
        <v>-160.30794700000001</v>
      </c>
      <c r="M75" s="373">
        <v>-241.15051399999999</v>
      </c>
      <c r="N75" s="373">
        <v>-1038.5926059999999</v>
      </c>
      <c r="O75" s="373">
        <v>-714.09302100000002</v>
      </c>
      <c r="P75" s="373">
        <v>-1572.6339949999999</v>
      </c>
      <c r="Q75" s="373">
        <v>-2241.4952039999998</v>
      </c>
      <c r="R75" s="373">
        <v>-2715.1674640000001</v>
      </c>
      <c r="S75" s="373">
        <v>-460.55578400000002</v>
      </c>
      <c r="T75" s="374">
        <v>-935.84993599999996</v>
      </c>
    </row>
    <row r="76" spans="2:20" x14ac:dyDescent="0.3">
      <c r="B76" s="286" t="s">
        <v>143</v>
      </c>
      <c r="C76" s="367" t="s">
        <v>449</v>
      </c>
      <c r="D76" s="372"/>
      <c r="E76" s="372"/>
      <c r="F76" s="373"/>
      <c r="G76" s="373"/>
      <c r="H76" s="373"/>
      <c r="I76" s="373"/>
      <c r="J76" s="373"/>
      <c r="K76" s="373">
        <v>-79.308293000000006</v>
      </c>
      <c r="L76" s="373">
        <v>-37.085999000000001</v>
      </c>
      <c r="M76" s="373">
        <v>-62.09986</v>
      </c>
      <c r="N76" s="373">
        <v>-277.95040499999999</v>
      </c>
      <c r="O76" s="373">
        <v>-212.606087</v>
      </c>
      <c r="P76" s="373">
        <v>-424.43449500000003</v>
      </c>
      <c r="Q76" s="373">
        <v>-633.55864199999996</v>
      </c>
      <c r="R76" s="373">
        <v>-887.35918000000004</v>
      </c>
      <c r="S76" s="373">
        <v>-256.48623500000002</v>
      </c>
      <c r="T76" s="374">
        <v>-512.36274100000003</v>
      </c>
    </row>
    <row r="77" spans="2:20" ht="15" thickBot="1" x14ac:dyDescent="0.35">
      <c r="B77" s="286" t="s">
        <v>398</v>
      </c>
      <c r="C77" s="367" t="s">
        <v>448</v>
      </c>
      <c r="D77" s="372"/>
      <c r="E77" s="372"/>
      <c r="F77" s="373"/>
      <c r="G77" s="373"/>
      <c r="H77" s="373"/>
      <c r="I77" s="373"/>
      <c r="J77" s="373"/>
      <c r="K77" s="373">
        <v>-12.129170999999999</v>
      </c>
      <c r="L77" s="373">
        <v>0</v>
      </c>
      <c r="M77" s="373">
        <v>0</v>
      </c>
      <c r="N77" s="373">
        <v>-36.047739</v>
      </c>
      <c r="O77" s="373">
        <v>26.065294000000002</v>
      </c>
      <c r="P77" s="373">
        <v>80.866094000000004</v>
      </c>
      <c r="Q77" s="373">
        <v>84.926334999999995</v>
      </c>
      <c r="R77" s="373">
        <v>69.181099000000003</v>
      </c>
      <c r="S77" s="373">
        <v>9.8432239999999993</v>
      </c>
      <c r="T77" s="374">
        <v>22.063231999999999</v>
      </c>
    </row>
    <row r="78" spans="2:20" ht="15" thickTop="1" x14ac:dyDescent="0.3">
      <c r="B78" s="287" t="s">
        <v>139</v>
      </c>
      <c r="C78" s="279" t="s">
        <v>139</v>
      </c>
      <c r="D78" s="375"/>
      <c r="E78" s="375"/>
      <c r="F78" s="376"/>
      <c r="G78" s="376"/>
      <c r="H78" s="376"/>
      <c r="I78" s="376"/>
      <c r="J78" s="376"/>
      <c r="K78" s="376">
        <v>4.3401629999999898</v>
      </c>
      <c r="L78" s="376">
        <v>-1.9648220000000123</v>
      </c>
      <c r="M78" s="376">
        <v>-10.505690999999977</v>
      </c>
      <c r="N78" s="376">
        <v>-119.70657899999983</v>
      </c>
      <c r="O78" s="376">
        <v>26.894193999999978</v>
      </c>
      <c r="P78" s="376">
        <v>92.277635000000117</v>
      </c>
      <c r="Q78" s="376">
        <v>312.74080400000037</v>
      </c>
      <c r="R78" s="376">
        <v>734.98184899999978</v>
      </c>
      <c r="S78" s="376">
        <v>443.99780899999996</v>
      </c>
      <c r="T78" s="377">
        <v>939.69584699999984</v>
      </c>
    </row>
    <row r="79" spans="2:20" ht="15" thickBot="1" x14ac:dyDescent="0.35">
      <c r="B79" s="286" t="s">
        <v>442</v>
      </c>
      <c r="C79" s="383" t="s">
        <v>450</v>
      </c>
      <c r="D79" s="378"/>
      <c r="E79" s="378"/>
      <c r="F79" s="373"/>
      <c r="G79" s="373"/>
      <c r="H79" s="373"/>
      <c r="I79" s="373"/>
      <c r="J79" s="373"/>
      <c r="K79" s="373">
        <v>-18.840225178952611</v>
      </c>
      <c r="L79" s="373">
        <v>-22.311587995815604</v>
      </c>
      <c r="M79" s="373">
        <v>-36.365505685267308</v>
      </c>
      <c r="N79" s="373">
        <v>-52.455238660078351</v>
      </c>
      <c r="O79" s="373">
        <v>-62.760333076343443</v>
      </c>
      <c r="P79" s="373">
        <v>-131.11905076220933</v>
      </c>
      <c r="Q79" s="373">
        <v>-218.60816490927732</v>
      </c>
      <c r="R79" s="373">
        <v>-307.92021485523162</v>
      </c>
      <c r="S79" s="373">
        <v>-81.495166955926493</v>
      </c>
      <c r="T79" s="374">
        <v>-178.44061559096875</v>
      </c>
    </row>
    <row r="80" spans="2:20" ht="15.6" thickTop="1" thickBot="1" x14ac:dyDescent="0.35">
      <c r="B80" s="368" t="s">
        <v>443</v>
      </c>
      <c r="C80" s="384" t="s">
        <v>443</v>
      </c>
      <c r="D80" s="379"/>
      <c r="E80" s="379"/>
      <c r="F80" s="380"/>
      <c r="G80" s="380"/>
      <c r="H80" s="380"/>
      <c r="I80" s="380"/>
      <c r="J80" s="380"/>
      <c r="K80" s="380">
        <v>-14.500062178952621</v>
      </c>
      <c r="L80" s="380">
        <v>-24.276409995815616</v>
      </c>
      <c r="M80" s="380">
        <v>-46.871196685267286</v>
      </c>
      <c r="N80" s="380">
        <v>-172.16181766007819</v>
      </c>
      <c r="O80" s="380">
        <v>-35.866139076343465</v>
      </c>
      <c r="P80" s="380">
        <v>-38.841415762209209</v>
      </c>
      <c r="Q80" s="380">
        <v>94.132639090723046</v>
      </c>
      <c r="R80" s="380">
        <v>427.06163414476816</v>
      </c>
      <c r="S80" s="380">
        <v>362.50264204407347</v>
      </c>
      <c r="T80" s="381">
        <v>761.25523140903113</v>
      </c>
    </row>
    <row r="81" spans="2:20" ht="14.4" customHeight="1" thickBot="1" x14ac:dyDescent="0.35">
      <c r="B81" s="390"/>
      <c r="C81" s="390"/>
      <c r="D81" s="391"/>
      <c r="E81" s="391"/>
      <c r="F81" s="391"/>
      <c r="G81" s="391"/>
      <c r="H81" s="391"/>
      <c r="I81" s="391"/>
      <c r="J81" s="391"/>
      <c r="K81" s="392"/>
      <c r="L81" s="392"/>
      <c r="M81" s="392"/>
      <c r="N81" s="392"/>
      <c r="O81" s="392"/>
      <c r="P81" s="392"/>
      <c r="Q81" s="392"/>
      <c r="R81" s="392"/>
      <c r="S81" s="392"/>
      <c r="T81" s="392"/>
    </row>
    <row r="82" spans="2:20" ht="29.4" thickTop="1" x14ac:dyDescent="0.3">
      <c r="B82" s="281" t="s">
        <v>445</v>
      </c>
      <c r="C82" s="295" t="s">
        <v>453</v>
      </c>
      <c r="D82" s="282">
        <v>2016</v>
      </c>
      <c r="E82" s="282">
        <v>2017</v>
      </c>
      <c r="F82" s="282">
        <v>2018</v>
      </c>
      <c r="G82" s="282">
        <v>2019</v>
      </c>
      <c r="H82" s="282">
        <v>2020</v>
      </c>
      <c r="I82" s="282">
        <v>2021</v>
      </c>
      <c r="J82" s="282">
        <v>2022</v>
      </c>
      <c r="K82" s="283">
        <v>2023</v>
      </c>
    </row>
    <row r="83" spans="2:20" x14ac:dyDescent="0.3">
      <c r="B83" s="285" t="s">
        <v>269</v>
      </c>
      <c r="C83" s="280" t="s">
        <v>451</v>
      </c>
      <c r="D83" s="393">
        <v>3091.856252</v>
      </c>
      <c r="E83" s="393">
        <v>5120.8255200000003</v>
      </c>
      <c r="F83" s="393">
        <v>6943.4890000000005</v>
      </c>
      <c r="G83" s="393">
        <v>9901.4330000000009</v>
      </c>
      <c r="H83" s="370">
        <v>11997.630348999999</v>
      </c>
      <c r="I83" s="370">
        <v>16369.622267999999</v>
      </c>
      <c r="J83" s="370">
        <v>24938.509277000001</v>
      </c>
      <c r="K83" s="371">
        <v>18040.986250999998</v>
      </c>
    </row>
    <row r="84" spans="2:20" x14ac:dyDescent="0.3">
      <c r="B84" s="286" t="s">
        <v>435</v>
      </c>
      <c r="C84" s="367" t="s">
        <v>415</v>
      </c>
      <c r="D84" s="373"/>
      <c r="E84" s="373"/>
      <c r="F84" s="373"/>
      <c r="G84" s="373"/>
      <c r="H84" s="373">
        <v>0</v>
      </c>
      <c r="I84" s="373">
        <v>0</v>
      </c>
      <c r="J84" s="373">
        <v>0</v>
      </c>
      <c r="K84" s="374">
        <v>0</v>
      </c>
    </row>
    <row r="85" spans="2:20" x14ac:dyDescent="0.3">
      <c r="B85" s="286" t="s">
        <v>169</v>
      </c>
      <c r="C85" s="367" t="s">
        <v>447</v>
      </c>
      <c r="D85" s="373"/>
      <c r="E85" s="373"/>
      <c r="F85" s="373">
        <v>-6625.7435009999999</v>
      </c>
      <c r="G85" s="373">
        <v>-9243.950073</v>
      </c>
      <c r="H85" s="373">
        <v>-11616.009585</v>
      </c>
      <c r="I85" s="373">
        <v>-14690.036787999999</v>
      </c>
      <c r="J85" s="373">
        <v>-22202.258065000002</v>
      </c>
      <c r="K85" s="374">
        <v>-14086.042659999999</v>
      </c>
    </row>
    <row r="86" spans="2:20" x14ac:dyDescent="0.3">
      <c r="B86" s="286" t="s">
        <v>143</v>
      </c>
      <c r="C86" s="367" t="s">
        <v>449</v>
      </c>
      <c r="D86" s="372"/>
      <c r="E86" s="372"/>
      <c r="F86" s="373">
        <v>-53.205722000000002</v>
      </c>
      <c r="G86" s="373">
        <v>-78.573042000000001</v>
      </c>
      <c r="H86" s="373">
        <v>-100.72804099999999</v>
      </c>
      <c r="I86" s="373">
        <v>-113.629874</v>
      </c>
      <c r="J86" s="373">
        <v>-166.72913</v>
      </c>
      <c r="K86" s="374">
        <v>-192.126991</v>
      </c>
    </row>
    <row r="87" spans="2:20" ht="15" thickBot="1" x14ac:dyDescent="0.35">
      <c r="B87" s="286" t="s">
        <v>398</v>
      </c>
      <c r="C87" s="367" t="s">
        <v>448</v>
      </c>
      <c r="D87" s="372"/>
      <c r="E87" s="372"/>
      <c r="F87" s="373">
        <v>18.060008</v>
      </c>
      <c r="G87" s="373">
        <v>5.6130319999999996</v>
      </c>
      <c r="H87" s="373">
        <v>4.7089590000000001</v>
      </c>
      <c r="I87" s="373">
        <v>-154.35771099999999</v>
      </c>
      <c r="J87" s="373">
        <v>33.000445999999997</v>
      </c>
      <c r="K87" s="374">
        <v>338.88511499999998</v>
      </c>
    </row>
    <row r="88" spans="2:20" ht="15" thickTop="1" x14ac:dyDescent="0.3">
      <c r="B88" s="287" t="s">
        <v>139</v>
      </c>
      <c r="C88" s="279" t="s">
        <v>139</v>
      </c>
      <c r="D88" s="375">
        <v>125.60722099999975</v>
      </c>
      <c r="E88" s="375">
        <v>-141.17447999999968</v>
      </c>
      <c r="F88" s="376">
        <v>282.48899999999958</v>
      </c>
      <c r="G88" s="376">
        <v>584.52300100000025</v>
      </c>
      <c r="H88" s="376">
        <v>285.60168200000044</v>
      </c>
      <c r="I88" s="376">
        <v>1411.5978949999999</v>
      </c>
      <c r="J88" s="376">
        <v>2602.5225279999991</v>
      </c>
      <c r="K88" s="377">
        <v>1203.4697740000004</v>
      </c>
    </row>
    <row r="89" spans="2:20" ht="15" thickBot="1" x14ac:dyDescent="0.35">
      <c r="B89" s="286" t="s">
        <v>442</v>
      </c>
      <c r="C89" s="383" t="s">
        <v>450</v>
      </c>
      <c r="D89" s="378"/>
      <c r="E89" s="378"/>
      <c r="F89" s="373"/>
      <c r="G89" s="373"/>
      <c r="H89" s="373"/>
      <c r="I89" s="373">
        <v>-133.31568106108409</v>
      </c>
      <c r="J89" s="373">
        <v>-141.9265667324218</v>
      </c>
      <c r="K89" s="374">
        <v>-30.962122145228911</v>
      </c>
    </row>
    <row r="90" spans="2:20" ht="15.6" thickTop="1" thickBot="1" x14ac:dyDescent="0.35">
      <c r="B90" s="368" t="s">
        <v>443</v>
      </c>
      <c r="C90" s="384" t="s">
        <v>443</v>
      </c>
      <c r="D90" s="379"/>
      <c r="E90" s="379"/>
      <c r="F90" s="380"/>
      <c r="G90" s="380"/>
      <c r="H90" s="380"/>
      <c r="I90" s="380">
        <v>1278.2822139389159</v>
      </c>
      <c r="J90" s="380">
        <v>2460.5959612675774</v>
      </c>
      <c r="K90" s="381">
        <v>1172.5076518547714</v>
      </c>
    </row>
    <row r="91" spans="2:20" ht="9.6" customHeight="1" thickBot="1" x14ac:dyDescent="0.35"/>
    <row r="92" spans="2:20" ht="28.8" x14ac:dyDescent="0.3">
      <c r="B92" s="281" t="s">
        <v>445</v>
      </c>
      <c r="C92" s="295" t="s">
        <v>453</v>
      </c>
      <c r="D92" s="282" t="s">
        <v>317</v>
      </c>
      <c r="E92" s="282" t="s">
        <v>319</v>
      </c>
      <c r="F92" s="282" t="s">
        <v>407</v>
      </c>
      <c r="G92" s="282" t="s">
        <v>441</v>
      </c>
      <c r="H92" s="282" t="s">
        <v>457</v>
      </c>
      <c r="I92" s="282" t="s">
        <v>458</v>
      </c>
      <c r="J92" s="282">
        <v>2021</v>
      </c>
      <c r="K92" s="282" t="s">
        <v>467</v>
      </c>
      <c r="L92" s="282" t="s">
        <v>468</v>
      </c>
      <c r="M92" s="282" t="s">
        <v>469</v>
      </c>
      <c r="N92" s="282">
        <v>2022</v>
      </c>
      <c r="O92" s="282" t="s">
        <v>484</v>
      </c>
      <c r="P92" s="282" t="s">
        <v>487</v>
      </c>
      <c r="Q92" s="282" t="s">
        <v>488</v>
      </c>
      <c r="R92" s="282">
        <v>2023</v>
      </c>
      <c r="S92" s="282" t="s">
        <v>509</v>
      </c>
      <c r="T92" s="283" t="s">
        <v>517</v>
      </c>
    </row>
    <row r="93" spans="2:20" x14ac:dyDescent="0.3">
      <c r="B93" s="285" t="s">
        <v>269</v>
      </c>
      <c r="C93" s="280" t="s">
        <v>451</v>
      </c>
      <c r="D93" s="369">
        <v>3446.5788940000002</v>
      </c>
      <c r="E93" s="369">
        <v>5652.4070730000003</v>
      </c>
      <c r="F93" s="370">
        <v>8533.2410319999999</v>
      </c>
      <c r="G93" s="370">
        <v>3819.4063289999999</v>
      </c>
      <c r="H93" s="370">
        <v>6839.2956240000003</v>
      </c>
      <c r="I93" s="370">
        <v>10294.869287</v>
      </c>
      <c r="J93" s="370">
        <v>16369.622267999999</v>
      </c>
      <c r="K93" s="370">
        <v>6178.7807620000003</v>
      </c>
      <c r="L93" s="370">
        <v>11090.861408000001</v>
      </c>
      <c r="M93" s="370">
        <v>18970.596260999999</v>
      </c>
      <c r="N93" s="370">
        <v>24938.509277000001</v>
      </c>
      <c r="O93" s="370">
        <v>5738.9453149999999</v>
      </c>
      <c r="P93" s="370">
        <v>9531.6329409999998</v>
      </c>
      <c r="Q93" s="370">
        <v>13191.001147000001</v>
      </c>
      <c r="R93" s="370">
        <v>18040.986250999998</v>
      </c>
      <c r="S93" s="370">
        <v>9377.1757199999993</v>
      </c>
      <c r="T93" s="371">
        <v>17179.476452999999</v>
      </c>
    </row>
    <row r="94" spans="2:20" x14ac:dyDescent="0.3">
      <c r="B94" s="286" t="s">
        <v>435</v>
      </c>
      <c r="C94" s="367" t="s">
        <v>415</v>
      </c>
      <c r="D94" s="372">
        <v>0</v>
      </c>
      <c r="E94" s="372">
        <v>0</v>
      </c>
      <c r="F94" s="373">
        <v>0</v>
      </c>
      <c r="G94" s="373">
        <v>0</v>
      </c>
      <c r="H94" s="373">
        <v>0</v>
      </c>
      <c r="I94" s="373">
        <v>0</v>
      </c>
      <c r="J94" s="373">
        <v>0</v>
      </c>
      <c r="K94" s="373">
        <v>0</v>
      </c>
      <c r="L94" s="373">
        <v>0</v>
      </c>
      <c r="M94" s="373">
        <v>0</v>
      </c>
      <c r="N94" s="373">
        <v>0</v>
      </c>
      <c r="O94" s="373">
        <v>0</v>
      </c>
      <c r="P94" s="373">
        <v>0</v>
      </c>
      <c r="Q94" s="373">
        <v>0</v>
      </c>
      <c r="R94" s="373">
        <v>0</v>
      </c>
      <c r="S94" s="373">
        <v>0</v>
      </c>
      <c r="T94" s="374">
        <v>0</v>
      </c>
    </row>
    <row r="95" spans="2:20" x14ac:dyDescent="0.3">
      <c r="B95" s="286" t="s">
        <v>169</v>
      </c>
      <c r="C95" s="367" t="s">
        <v>447</v>
      </c>
      <c r="D95" s="372">
        <v>-3310.1555400000002</v>
      </c>
      <c r="E95" s="372">
        <v>-5524.5504659999997</v>
      </c>
      <c r="F95" s="373">
        <v>-8219.1203619999997</v>
      </c>
      <c r="G95" s="373">
        <v>-3560.556321</v>
      </c>
      <c r="H95" s="373">
        <v>-6347.0310810000001</v>
      </c>
      <c r="I95" s="373">
        <v>-9335.2896970000002</v>
      </c>
      <c r="J95" s="373">
        <v>-14690.036787999999</v>
      </c>
      <c r="K95" s="373">
        <v>-5589.5161680000001</v>
      </c>
      <c r="L95" s="373">
        <v>-9837.9922989999995</v>
      </c>
      <c r="M95" s="373">
        <v>-17152.540475999998</v>
      </c>
      <c r="N95" s="373">
        <v>-22202.258065000002</v>
      </c>
      <c r="O95" s="373">
        <v>-4415.9450429999997</v>
      </c>
      <c r="P95" s="373">
        <v>-7306.6733260000001</v>
      </c>
      <c r="Q95" s="373">
        <v>-10017.787534999999</v>
      </c>
      <c r="R95" s="373">
        <v>-14086.042659999999</v>
      </c>
      <c r="S95" s="373">
        <v>-8250.8006679999999</v>
      </c>
      <c r="T95" s="374">
        <v>-14913.948187</v>
      </c>
    </row>
    <row r="96" spans="2:20" x14ac:dyDescent="0.3">
      <c r="B96" s="286" t="s">
        <v>143</v>
      </c>
      <c r="C96" s="367" t="s">
        <v>449</v>
      </c>
      <c r="D96" s="372">
        <v>-24.565386</v>
      </c>
      <c r="E96" s="372">
        <v>-49.268940000000001</v>
      </c>
      <c r="F96" s="373">
        <v>-74.319208000000003</v>
      </c>
      <c r="G96" s="373">
        <v>-23.102269</v>
      </c>
      <c r="H96" s="373">
        <v>-57.071241000000001</v>
      </c>
      <c r="I96" s="373">
        <v>-86.466801000000004</v>
      </c>
      <c r="J96" s="373">
        <v>-113.629874</v>
      </c>
      <c r="K96" s="373">
        <v>-28.380731000000001</v>
      </c>
      <c r="L96" s="373">
        <v>-64.657250000000005</v>
      </c>
      <c r="M96" s="373">
        <v>-127.176942</v>
      </c>
      <c r="N96" s="373">
        <v>-166.72913</v>
      </c>
      <c r="O96" s="373">
        <v>-30.875312000000001</v>
      </c>
      <c r="P96" s="373">
        <v>-79.573930000000004</v>
      </c>
      <c r="Q96" s="373">
        <v>-158.26747</v>
      </c>
      <c r="R96" s="373">
        <v>-192.126991</v>
      </c>
      <c r="S96" s="373">
        <v>-37.628193000000003</v>
      </c>
      <c r="T96" s="374">
        <v>-86.977862000000002</v>
      </c>
    </row>
    <row r="97" spans="2:20" ht="15" thickBot="1" x14ac:dyDescent="0.35">
      <c r="B97" s="286" t="s">
        <v>398</v>
      </c>
      <c r="C97" s="367" t="s">
        <v>448</v>
      </c>
      <c r="D97" s="372">
        <v>-0.87495999999999996</v>
      </c>
      <c r="E97" s="372">
        <v>28.220193999999999</v>
      </c>
      <c r="F97" s="373">
        <v>50.075854999999997</v>
      </c>
      <c r="G97" s="373">
        <v>20.820058</v>
      </c>
      <c r="H97" s="373">
        <v>23.594391000000002</v>
      </c>
      <c r="I97" s="373">
        <v>-13.341226000000001</v>
      </c>
      <c r="J97" s="373">
        <v>-154.35771099999999</v>
      </c>
      <c r="K97" s="373">
        <v>-18.932337</v>
      </c>
      <c r="L97" s="373">
        <v>-47.092998000000001</v>
      </c>
      <c r="M97" s="373">
        <v>-72.876675000000006</v>
      </c>
      <c r="N97" s="373">
        <v>33.000445999999997</v>
      </c>
      <c r="O97" s="373">
        <v>-88.655186</v>
      </c>
      <c r="P97" s="373">
        <v>78.752695000000003</v>
      </c>
      <c r="Q97" s="373">
        <v>167.59151900000001</v>
      </c>
      <c r="R97" s="373">
        <v>338.88511499999998</v>
      </c>
      <c r="S97" s="373">
        <v>-22.882339000000002</v>
      </c>
      <c r="T97" s="374">
        <v>-237.500215</v>
      </c>
    </row>
    <row r="98" spans="2:20" ht="15" thickTop="1" x14ac:dyDescent="0.3">
      <c r="B98" s="287" t="s">
        <v>139</v>
      </c>
      <c r="C98" s="279" t="s">
        <v>139</v>
      </c>
      <c r="D98" s="375">
        <v>110.98300800000001</v>
      </c>
      <c r="E98" s="375">
        <v>106.80786100000063</v>
      </c>
      <c r="F98" s="376">
        <v>289.87731700000023</v>
      </c>
      <c r="G98" s="376">
        <v>256.56779699999987</v>
      </c>
      <c r="H98" s="376">
        <v>458.78769300000022</v>
      </c>
      <c r="I98" s="376">
        <v>859.77156299999933</v>
      </c>
      <c r="J98" s="376">
        <v>1411.5978949999999</v>
      </c>
      <c r="K98" s="376">
        <v>541.95152600000029</v>
      </c>
      <c r="L98" s="376">
        <v>1141.1188610000011</v>
      </c>
      <c r="M98" s="376">
        <v>1618.0021680000004</v>
      </c>
      <c r="N98" s="376">
        <v>2602.5225279999991</v>
      </c>
      <c r="O98" s="376">
        <v>1203.4697740000004</v>
      </c>
      <c r="P98" s="376">
        <v>2224.1383799999999</v>
      </c>
      <c r="Q98" s="376">
        <v>3182.5376610000017</v>
      </c>
      <c r="R98" s="376">
        <v>1203.4697740000004</v>
      </c>
      <c r="S98" s="376">
        <v>1065.8645199999994</v>
      </c>
      <c r="T98" s="377">
        <v>1941.0501889999991</v>
      </c>
    </row>
    <row r="99" spans="2:20" ht="15" thickBot="1" x14ac:dyDescent="0.35">
      <c r="B99" s="286" t="s">
        <v>442</v>
      </c>
      <c r="C99" s="383" t="s">
        <v>450</v>
      </c>
      <c r="D99" s="378">
        <v>-29.784254693310583</v>
      </c>
      <c r="E99" s="378">
        <v>-61.762972540816776</v>
      </c>
      <c r="F99" s="373">
        <v>-91.848638435727452</v>
      </c>
      <c r="G99" s="373">
        <v>-32.585683672449562</v>
      </c>
      <c r="H99" s="373">
        <v>-68.389103756082392</v>
      </c>
      <c r="I99" s="373">
        <v>-96.541944676630592</v>
      </c>
      <c r="J99" s="373">
        <v>-133.31568106108409</v>
      </c>
      <c r="K99" s="373">
        <v>-25.112034076137064</v>
      </c>
      <c r="L99" s="373">
        <v>-59.471210818721069</v>
      </c>
      <c r="M99" s="373">
        <v>-97.584470778415266</v>
      </c>
      <c r="N99" s="373">
        <v>-141.9265667324218</v>
      </c>
      <c r="O99" s="373">
        <v>-30.962122145228911</v>
      </c>
      <c r="P99" s="373">
        <v>-63.690877052626348</v>
      </c>
      <c r="Q99" s="373">
        <v>-101.53396643111262</v>
      </c>
      <c r="R99" s="373">
        <v>-30.962122145228911</v>
      </c>
      <c r="S99" s="373">
        <v>-41.750101132543136</v>
      </c>
      <c r="T99" s="374">
        <v>-89.873864544413209</v>
      </c>
    </row>
    <row r="100" spans="2:20" ht="15.6" thickTop="1" thickBot="1" x14ac:dyDescent="0.35">
      <c r="B100" s="368" t="s">
        <v>443</v>
      </c>
      <c r="C100" s="384" t="s">
        <v>443</v>
      </c>
      <c r="D100" s="379">
        <v>81.198753306689426</v>
      </c>
      <c r="E100" s="379">
        <v>45.044888459183852</v>
      </c>
      <c r="F100" s="380">
        <v>198.02867856427278</v>
      </c>
      <c r="G100" s="380">
        <v>223.98211332755031</v>
      </c>
      <c r="H100" s="380">
        <v>390.39858924391785</v>
      </c>
      <c r="I100" s="380">
        <v>763.22961832336875</v>
      </c>
      <c r="J100" s="380">
        <v>1278.2822139389159</v>
      </c>
      <c r="K100" s="380">
        <v>516.83949192386319</v>
      </c>
      <c r="L100" s="380">
        <v>1081.6476501812799</v>
      </c>
      <c r="M100" s="380">
        <v>1520.4176972215851</v>
      </c>
      <c r="N100" s="380">
        <v>2460.5959612675774</v>
      </c>
      <c r="O100" s="380">
        <v>1172.5076518547714</v>
      </c>
      <c r="P100" s="380">
        <v>2160.4475029473733</v>
      </c>
      <c r="Q100" s="380">
        <v>3081.0036945688889</v>
      </c>
      <c r="R100" s="380">
        <v>1172.5076518547714</v>
      </c>
      <c r="S100" s="380">
        <v>1024.1144188674562</v>
      </c>
      <c r="T100" s="381">
        <v>1851.1763244555859</v>
      </c>
    </row>
    <row r="101" spans="2:20" ht="18.600000000000001" customHeight="1" thickBot="1" x14ac:dyDescent="0.35">
      <c r="B101" s="390"/>
      <c r="C101" s="390"/>
      <c r="D101" s="391"/>
      <c r="E101" s="391"/>
      <c r="F101" s="391"/>
      <c r="G101" s="391"/>
      <c r="H101" s="391"/>
      <c r="I101" s="391"/>
      <c r="J101" s="391"/>
      <c r="K101" s="392"/>
      <c r="L101" s="392"/>
      <c r="M101" s="392"/>
      <c r="N101" s="392"/>
      <c r="O101" s="392"/>
      <c r="P101" s="392"/>
      <c r="Q101" s="392"/>
      <c r="R101" s="392"/>
      <c r="S101" s="392"/>
      <c r="T101" s="392"/>
    </row>
    <row r="102" spans="2:20" ht="12" customHeight="1" thickTop="1" thickBot="1" x14ac:dyDescent="0.35">
      <c r="B102" s="417"/>
      <c r="C102" s="417"/>
      <c r="D102" s="418"/>
      <c r="E102" s="418"/>
      <c r="F102" s="418"/>
      <c r="G102" s="418"/>
      <c r="H102" s="418"/>
      <c r="I102" s="418"/>
      <c r="J102" s="418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</row>
    <row r="103" spans="2:20" x14ac:dyDescent="0.3">
      <c r="B103" s="281" t="s">
        <v>446</v>
      </c>
      <c r="C103" s="295" t="s">
        <v>454</v>
      </c>
      <c r="D103" s="282">
        <v>2016</v>
      </c>
      <c r="E103" s="282">
        <v>2017</v>
      </c>
      <c r="F103" s="282">
        <v>2018</v>
      </c>
      <c r="G103" s="282">
        <v>2019</v>
      </c>
      <c r="H103" s="282">
        <v>2020</v>
      </c>
      <c r="I103" s="282">
        <v>2021</v>
      </c>
      <c r="J103" s="282">
        <v>2022</v>
      </c>
      <c r="K103" s="283">
        <v>2023</v>
      </c>
    </row>
    <row r="104" spans="2:20" x14ac:dyDescent="0.3">
      <c r="B104" s="285" t="s">
        <v>269</v>
      </c>
      <c r="C104" s="394" t="s">
        <v>451</v>
      </c>
      <c r="D104" s="369">
        <v>729.72434799999996</v>
      </c>
      <c r="E104" s="369">
        <v>346</v>
      </c>
      <c r="F104" s="369">
        <v>346.964</v>
      </c>
      <c r="G104" s="369">
        <v>416.06600000000003</v>
      </c>
      <c r="H104" s="369">
        <v>455.00343099999998</v>
      </c>
      <c r="I104" s="369">
        <v>0</v>
      </c>
      <c r="J104" s="370">
        <v>0.368699</v>
      </c>
      <c r="K104" s="371">
        <v>5</v>
      </c>
    </row>
    <row r="105" spans="2:20" x14ac:dyDescent="0.3">
      <c r="B105" s="286" t="s">
        <v>435</v>
      </c>
      <c r="C105" s="395" t="s">
        <v>415</v>
      </c>
      <c r="D105" s="372"/>
      <c r="E105" s="372"/>
      <c r="F105" s="373">
        <v>0.20433699999999999</v>
      </c>
      <c r="G105" s="373">
        <v>0</v>
      </c>
      <c r="H105" s="373">
        <v>0</v>
      </c>
      <c r="I105" s="373">
        <v>0</v>
      </c>
      <c r="J105" s="373">
        <v>0</v>
      </c>
      <c r="K105" s="374">
        <v>0</v>
      </c>
    </row>
    <row r="106" spans="2:20" x14ac:dyDescent="0.3">
      <c r="B106" s="286" t="s">
        <v>169</v>
      </c>
      <c r="C106" s="395" t="s">
        <v>447</v>
      </c>
      <c r="D106" s="372"/>
      <c r="E106" s="372"/>
      <c r="F106" s="372">
        <v>-545.43949399999997</v>
      </c>
      <c r="G106" s="372">
        <v>-562.53912200000002</v>
      </c>
      <c r="H106" s="372">
        <v>-614.62636399999997</v>
      </c>
      <c r="I106" s="372">
        <v>-261.00446799999997</v>
      </c>
      <c r="J106" s="373">
        <v>-323.10048999999992</v>
      </c>
      <c r="K106" s="374">
        <v>-737.17296700000009</v>
      </c>
    </row>
    <row r="107" spans="2:20" x14ac:dyDescent="0.3">
      <c r="B107" s="286" t="s">
        <v>143</v>
      </c>
      <c r="C107" s="395" t="s">
        <v>449</v>
      </c>
      <c r="D107" s="372"/>
      <c r="E107" s="372"/>
      <c r="F107" s="372">
        <v>-800.27737200000001</v>
      </c>
      <c r="G107" s="372">
        <v>-833.96138099999996</v>
      </c>
      <c r="H107" s="372">
        <v>-954.87623699999995</v>
      </c>
      <c r="I107" s="372">
        <v>-698.94786199999987</v>
      </c>
      <c r="J107" s="373">
        <v>-716.88813200000004</v>
      </c>
      <c r="K107" s="374">
        <v>-1007.6235479999998</v>
      </c>
    </row>
    <row r="108" spans="2:20" ht="15" thickBot="1" x14ac:dyDescent="0.35">
      <c r="B108" s="286" t="s">
        <v>398</v>
      </c>
      <c r="C108" s="395" t="s">
        <v>448</v>
      </c>
      <c r="D108" s="372"/>
      <c r="E108" s="372"/>
      <c r="F108" s="372">
        <v>-10.379951</v>
      </c>
      <c r="G108" s="372">
        <v>-10.551583000000001</v>
      </c>
      <c r="H108" s="372">
        <v>-7.5942430000000005</v>
      </c>
      <c r="I108" s="372">
        <v>4</v>
      </c>
      <c r="J108" s="373">
        <v>-8.3776060000000001</v>
      </c>
      <c r="K108" s="374">
        <v>-151.563039</v>
      </c>
    </row>
    <row r="109" spans="2:20" ht="15.6" thickTop="1" thickBot="1" x14ac:dyDescent="0.35">
      <c r="B109" s="368" t="s">
        <v>139</v>
      </c>
      <c r="C109" s="396" t="s">
        <v>139</v>
      </c>
      <c r="D109" s="379">
        <v>-119.12170499999999</v>
      </c>
      <c r="E109" s="379">
        <v>-241.403603</v>
      </c>
      <c r="F109" s="379">
        <v>-380.65499500000004</v>
      </c>
      <c r="G109" s="379">
        <v>-182.146931</v>
      </c>
      <c r="H109" s="379">
        <v>-465.86027399999995</v>
      </c>
      <c r="I109" s="379">
        <v>-956.44179199999996</v>
      </c>
      <c r="J109" s="379">
        <v>-1047.997529</v>
      </c>
      <c r="K109" s="398">
        <f>+SUM(K104:K108)</f>
        <v>-1891.3595540000001</v>
      </c>
    </row>
    <row r="110" spans="2:20" ht="9" customHeight="1" thickBot="1" x14ac:dyDescent="0.35">
      <c r="B110" s="284"/>
      <c r="D110" s="83"/>
      <c r="E110" s="83"/>
      <c r="F110" s="83"/>
      <c r="G110" s="83"/>
      <c r="H110" s="83"/>
      <c r="I110" s="83"/>
      <c r="J110" s="83"/>
    </row>
    <row r="111" spans="2:20" x14ac:dyDescent="0.3">
      <c r="B111" s="281" t="s">
        <v>446</v>
      </c>
      <c r="C111" s="295" t="s">
        <v>454</v>
      </c>
      <c r="D111" s="282" t="s">
        <v>317</v>
      </c>
      <c r="E111" s="282" t="s">
        <v>319</v>
      </c>
      <c r="F111" s="282" t="s">
        <v>407</v>
      </c>
      <c r="G111" s="282" t="s">
        <v>441</v>
      </c>
      <c r="H111" s="282" t="s">
        <v>457</v>
      </c>
      <c r="I111" s="282" t="s">
        <v>458</v>
      </c>
      <c r="J111" s="282">
        <v>2021</v>
      </c>
      <c r="K111" s="282" t="s">
        <v>467</v>
      </c>
      <c r="L111" s="282" t="s">
        <v>468</v>
      </c>
      <c r="M111" s="282" t="s">
        <v>469</v>
      </c>
      <c r="N111" s="282">
        <f>+N92</f>
        <v>2022</v>
      </c>
      <c r="O111" s="282" t="s">
        <v>484</v>
      </c>
      <c r="P111" s="282" t="s">
        <v>487</v>
      </c>
      <c r="Q111" s="282" t="s">
        <v>488</v>
      </c>
      <c r="R111" s="282">
        <v>2023</v>
      </c>
      <c r="S111" s="282" t="s">
        <v>509</v>
      </c>
      <c r="T111" s="283" t="s">
        <v>517</v>
      </c>
    </row>
    <row r="112" spans="2:20" x14ac:dyDescent="0.3">
      <c r="B112" s="285" t="s">
        <v>269</v>
      </c>
      <c r="C112" s="280" t="s">
        <v>451</v>
      </c>
      <c r="D112" s="369">
        <v>0</v>
      </c>
      <c r="E112" s="369">
        <v>0</v>
      </c>
      <c r="F112" s="369">
        <v>0</v>
      </c>
      <c r="G112" s="369">
        <v>8.7379999999999999E-2</v>
      </c>
      <c r="H112" s="369">
        <v>0.13664000000000001</v>
      </c>
      <c r="I112" s="369">
        <v>0.59774499999999997</v>
      </c>
      <c r="J112" s="369">
        <v>0</v>
      </c>
      <c r="K112" s="369">
        <v>0.104253</v>
      </c>
      <c r="L112" s="370">
        <v>0</v>
      </c>
      <c r="M112" s="370">
        <v>0.172315</v>
      </c>
      <c r="N112" s="370">
        <v>0.368699</v>
      </c>
      <c r="O112" s="370">
        <v>3.030497</v>
      </c>
      <c r="P112" s="370">
        <v>3.0563179999999996</v>
      </c>
      <c r="Q112" s="370">
        <v>4.876233</v>
      </c>
      <c r="R112" s="370">
        <v>5</v>
      </c>
      <c r="S112" s="370">
        <v>0.41835699999999998</v>
      </c>
      <c r="T112" s="371">
        <v>3.868357</v>
      </c>
    </row>
    <row r="113" spans="2:20" x14ac:dyDescent="0.3">
      <c r="B113" s="286" t="s">
        <v>435</v>
      </c>
      <c r="C113" s="367" t="s">
        <v>415</v>
      </c>
      <c r="D113" s="372">
        <v>8.0345E-2</v>
      </c>
      <c r="E113" s="372">
        <v>9.4635999999999998E-2</v>
      </c>
      <c r="F113" s="372">
        <v>0.20433699999999999</v>
      </c>
      <c r="G113" s="372">
        <v>0</v>
      </c>
      <c r="H113" s="372">
        <v>0</v>
      </c>
      <c r="I113" s="372">
        <v>0</v>
      </c>
      <c r="J113" s="372">
        <v>0</v>
      </c>
      <c r="K113" s="372">
        <v>0</v>
      </c>
      <c r="L113" s="373">
        <v>0</v>
      </c>
      <c r="M113" s="373">
        <v>0</v>
      </c>
      <c r="N113" s="373">
        <v>0</v>
      </c>
      <c r="O113" s="373">
        <v>0</v>
      </c>
      <c r="P113" s="373">
        <v>0</v>
      </c>
      <c r="Q113" s="373">
        <v>0</v>
      </c>
      <c r="R113" s="373">
        <v>0</v>
      </c>
      <c r="S113" s="373">
        <v>0</v>
      </c>
      <c r="T113" s="374">
        <v>0</v>
      </c>
    </row>
    <row r="114" spans="2:20" x14ac:dyDescent="0.3">
      <c r="B114" s="286" t="s">
        <v>169</v>
      </c>
      <c r="C114" s="367" t="s">
        <v>447</v>
      </c>
      <c r="D114" s="372">
        <v>-25.300370000000001</v>
      </c>
      <c r="E114" s="372">
        <v>-62.529226999999999</v>
      </c>
      <c r="F114" s="372">
        <v>-118.35395800000001</v>
      </c>
      <c r="G114" s="372">
        <v>-33.761374000000004</v>
      </c>
      <c r="H114" s="372">
        <v>-126.17509800000001</v>
      </c>
      <c r="I114" s="372">
        <v>-159.62473800000001</v>
      </c>
      <c r="J114" s="372">
        <v>-261.00446799999997</v>
      </c>
      <c r="K114" s="372">
        <v>-46.434167000000016</v>
      </c>
      <c r="L114" s="373">
        <v>-115.83973499999996</v>
      </c>
      <c r="M114" s="373">
        <v>-212.61462200000005</v>
      </c>
      <c r="N114" s="373">
        <v>-323.10048999999992</v>
      </c>
      <c r="O114" s="373">
        <v>-70.982240000000019</v>
      </c>
      <c r="P114" s="373">
        <v>-293.02014500000007</v>
      </c>
      <c r="Q114" s="373">
        <v>-353.82778199999996</v>
      </c>
      <c r="R114" s="373">
        <v>-737.17296700000009</v>
      </c>
      <c r="S114" s="373">
        <v>-434.49616599999996</v>
      </c>
      <c r="T114" s="374">
        <v>-536.3839089999999</v>
      </c>
    </row>
    <row r="115" spans="2:20" x14ac:dyDescent="0.3">
      <c r="B115" s="286" t="s">
        <v>143</v>
      </c>
      <c r="C115" s="367" t="s">
        <v>449</v>
      </c>
      <c r="D115" s="372">
        <v>-89.943265999999994</v>
      </c>
      <c r="E115" s="372">
        <v>-179.213572</v>
      </c>
      <c r="F115" s="372">
        <v>-270.11604</v>
      </c>
      <c r="G115" s="372">
        <v>-147.425422</v>
      </c>
      <c r="H115" s="372">
        <v>-338.44372299999998</v>
      </c>
      <c r="I115" s="372">
        <v>-450.83674600000001</v>
      </c>
      <c r="J115" s="372">
        <v>-698.94786199999987</v>
      </c>
      <c r="K115" s="372">
        <v>-149.706616</v>
      </c>
      <c r="L115" s="373">
        <v>-322.45622199999991</v>
      </c>
      <c r="M115" s="373">
        <v>-522.04771300000004</v>
      </c>
      <c r="N115" s="373">
        <v>-716.88813200000004</v>
      </c>
      <c r="O115" s="373">
        <v>-116.13253400000002</v>
      </c>
      <c r="P115" s="373">
        <v>-543.48155099999997</v>
      </c>
      <c r="Q115" s="373">
        <v>-735.23403700000017</v>
      </c>
      <c r="R115" s="373">
        <v>-1007.6235479999998</v>
      </c>
      <c r="S115" s="373">
        <v>-134.90387200000004</v>
      </c>
      <c r="T115" s="374">
        <v>-736.65014100000008</v>
      </c>
    </row>
    <row r="116" spans="2:20" ht="15" thickBot="1" x14ac:dyDescent="0.35">
      <c r="B116" s="286" t="s">
        <v>398</v>
      </c>
      <c r="C116" s="367" t="s">
        <v>448</v>
      </c>
      <c r="D116" s="372">
        <v>-3.9584139999999999</v>
      </c>
      <c r="E116" s="372">
        <v>0.24455999999999989</v>
      </c>
      <c r="F116" s="372">
        <v>7.6106660000000002</v>
      </c>
      <c r="G116" s="372">
        <v>-1.047515</v>
      </c>
      <c r="H116" s="372">
        <v>-1.378093</v>
      </c>
      <c r="I116" s="372">
        <v>-0.85038199999999997</v>
      </c>
      <c r="J116" s="372">
        <v>4</v>
      </c>
      <c r="K116" s="372">
        <v>-15.734906000000001</v>
      </c>
      <c r="L116" s="373">
        <v>-18.975458</v>
      </c>
      <c r="M116" s="373">
        <v>-24.657693999999999</v>
      </c>
      <c r="N116" s="373">
        <v>-8.3776060000000001</v>
      </c>
      <c r="O116" s="373">
        <v>-14.363602999999999</v>
      </c>
      <c r="P116" s="373">
        <v>-19.340488000000001</v>
      </c>
      <c r="Q116" s="373">
        <v>-33.047750000000001</v>
      </c>
      <c r="R116" s="373">
        <v>-151.563039</v>
      </c>
      <c r="S116" s="373">
        <v>-0.5889899999999999</v>
      </c>
      <c r="T116" s="374">
        <v>-15.030633</v>
      </c>
    </row>
    <row r="117" spans="2:20" ht="15.6" thickTop="1" thickBot="1" x14ac:dyDescent="0.35">
      <c r="B117" s="368" t="s">
        <v>139</v>
      </c>
      <c r="C117" s="384" t="s">
        <v>139</v>
      </c>
      <c r="D117" s="379">
        <v>-119.12170499999999</v>
      </c>
      <c r="E117" s="379">
        <v>-241.403603</v>
      </c>
      <c r="F117" s="379">
        <v>-380.65499500000004</v>
      </c>
      <c r="G117" s="379">
        <v>-182.146931</v>
      </c>
      <c r="H117" s="379">
        <v>-465.86027399999995</v>
      </c>
      <c r="I117" s="379">
        <v>-610.71412099999998</v>
      </c>
      <c r="J117" s="379">
        <v>-956.44179199999996</v>
      </c>
      <c r="K117" s="379">
        <v>-211.77143600000002</v>
      </c>
      <c r="L117" s="397">
        <v>-457.27141499999988</v>
      </c>
      <c r="M117" s="397">
        <v>-759.14771400000006</v>
      </c>
      <c r="N117" s="397">
        <v>-1047.997529</v>
      </c>
      <c r="O117" s="397">
        <v>-198.44788000000005</v>
      </c>
      <c r="P117" s="397">
        <v>-852.78586600000017</v>
      </c>
      <c r="Q117" s="397">
        <v>-1117.233336</v>
      </c>
      <c r="R117" s="397">
        <f>+SUM(R112:R116)</f>
        <v>-1891.3595540000001</v>
      </c>
      <c r="S117" s="397">
        <v>-569.57067099999995</v>
      </c>
      <c r="T117" s="399">
        <v>-1284.196326</v>
      </c>
    </row>
    <row r="119" spans="2:20" x14ac:dyDescent="0.3">
      <c r="D119" s="83"/>
      <c r="E119" s="83"/>
      <c r="F119" s="83"/>
      <c r="G119" s="83"/>
      <c r="H119" s="83"/>
      <c r="I119" s="83"/>
      <c r="J119" s="83"/>
    </row>
    <row r="120" spans="2:20" ht="13.8" hidden="1" customHeight="1" outlineLevel="1" x14ac:dyDescent="0.35">
      <c r="B120" s="182" t="s">
        <v>325</v>
      </c>
      <c r="C120" s="182" t="s">
        <v>326</v>
      </c>
      <c r="D120" s="83"/>
      <c r="E120" s="83"/>
      <c r="F120" s="83"/>
      <c r="G120" s="83"/>
      <c r="H120" s="83"/>
      <c r="I120" s="83"/>
      <c r="J120" s="83"/>
      <c r="Q120" s="336"/>
      <c r="R120" s="336"/>
      <c r="S120" s="336"/>
    </row>
    <row r="121" spans="2:20" hidden="1" outlineLevel="1" x14ac:dyDescent="0.3">
      <c r="B121" s="147" t="s">
        <v>330</v>
      </c>
      <c r="C121" s="147" t="s">
        <v>333</v>
      </c>
      <c r="D121" s="186">
        <v>2016</v>
      </c>
      <c r="E121" s="186">
        <v>2017</v>
      </c>
      <c r="F121" s="186">
        <v>2018</v>
      </c>
      <c r="G121" s="186">
        <v>2019</v>
      </c>
      <c r="H121" s="186" t="s">
        <v>317</v>
      </c>
      <c r="I121" s="186" t="s">
        <v>319</v>
      </c>
      <c r="J121" s="186" t="s">
        <v>407</v>
      </c>
    </row>
    <row r="122" spans="2:20" hidden="1" outlineLevel="1" x14ac:dyDescent="0.3">
      <c r="B122" t="s">
        <v>269</v>
      </c>
      <c r="C122" t="s">
        <v>323</v>
      </c>
      <c r="D122" s="288" t="e">
        <f>#REF!+#REF!+#REF!+#REF!+#REF!</f>
        <v>#REF!</v>
      </c>
      <c r="E122" s="292" t="e">
        <f>#REF!+#REF!+#REF!+#REF!+#REF!</f>
        <v>#REF!</v>
      </c>
      <c r="F122" s="288" t="e">
        <f>#REF!+#REF!+#REF!+#REF!+#REF!</f>
        <v>#REF!</v>
      </c>
      <c r="G122" s="289" t="e">
        <f>#REF!+#REF!+#REF!+#REF!+#REF!</f>
        <v>#REF!</v>
      </c>
      <c r="H122" s="288" t="e">
        <f>#REF!+#REF!+#REF!+#REF!+#REF!</f>
        <v>#REF!</v>
      </c>
      <c r="I122" s="289" t="e">
        <f>#REF!+#REF!+#REF!+#REF!+#REF!</f>
        <v>#REF!</v>
      </c>
      <c r="J122" s="288" t="e">
        <f>#REF!+#REF!+#REF!+#REF!+#REF!</f>
        <v>#REF!</v>
      </c>
    </row>
    <row r="123" spans="2:20" hidden="1" outlineLevel="1" x14ac:dyDescent="0.3">
      <c r="B123" t="s">
        <v>270</v>
      </c>
      <c r="C123" t="s">
        <v>324</v>
      </c>
      <c r="D123" s="288" t="e">
        <f>#REF!+#REF!+#REF!+#REF!+#REF!</f>
        <v>#REF!</v>
      </c>
      <c r="E123" s="292" t="e">
        <f>#REF!+#REF!+#REF!+#REF!+#REF!</f>
        <v>#REF!</v>
      </c>
      <c r="F123" s="288" t="e">
        <f>#REF!+#REF!+#REF!+#REF!+#REF!</f>
        <v>#REF!</v>
      </c>
      <c r="G123" s="289" t="e">
        <f>#REF!+#REF!+#REF!+#REF!+#REF!</f>
        <v>#REF!</v>
      </c>
      <c r="H123" s="288" t="e">
        <f>#REF!+#REF!+#REF!+#REF!+#REF!</f>
        <v>#REF!</v>
      </c>
      <c r="I123" s="289" t="e">
        <f>#REF!+#REF!+#REF!+#REF!+#REF!</f>
        <v>#REF!</v>
      </c>
      <c r="J123" s="288" t="e">
        <f>#REF!+#REF!+#REF!+#REF!+#REF!</f>
        <v>#REF!</v>
      </c>
    </row>
    <row r="124" spans="2:20" ht="15" hidden="1" outlineLevel="1" thickBot="1" x14ac:dyDescent="0.35">
      <c r="B124" s="183" t="s">
        <v>139</v>
      </c>
      <c r="C124" s="183" t="s">
        <v>139</v>
      </c>
      <c r="D124" s="290" t="e">
        <f>#REF!+#REF!+#REF!+#REF!+#REF!</f>
        <v>#REF!</v>
      </c>
      <c r="E124" s="293" t="e">
        <f>#REF!+#REF!+#REF!+#REF!+#REF!</f>
        <v>#REF!</v>
      </c>
      <c r="F124" s="290" t="e">
        <f>#REF!+#REF!+#REF!+#REF!+#REF!</f>
        <v>#REF!</v>
      </c>
      <c r="G124" s="291" t="e">
        <f>#REF!+#REF!+#REF!+#REF!+#REF!</f>
        <v>#REF!</v>
      </c>
      <c r="H124" s="290" t="e">
        <f>#REF!+#REF!+#REF!+#REF!+#REF!</f>
        <v>#REF!</v>
      </c>
      <c r="I124" s="293" t="e">
        <f>#REF!+#REF!+#REF!+#REF!+#REF!</f>
        <v>#REF!</v>
      </c>
      <c r="J124" s="290" t="e">
        <f>#REF!+#REF!+#REF!+#REF!+#REF!</f>
        <v>#REF!</v>
      </c>
    </row>
    <row r="125" spans="2:20" hidden="1" outlineLevel="1" x14ac:dyDescent="0.3">
      <c r="D125" s="83"/>
      <c r="E125" s="83"/>
      <c r="F125" s="83"/>
      <c r="G125" s="83"/>
      <c r="H125" s="83"/>
      <c r="I125" s="83"/>
      <c r="J125" s="83"/>
    </row>
    <row r="126" spans="2:20" hidden="1" outlineLevel="1" x14ac:dyDescent="0.3">
      <c r="D126" s="83"/>
      <c r="E126" s="83"/>
      <c r="F126" s="83"/>
      <c r="G126" s="83"/>
      <c r="H126" s="83"/>
      <c r="I126" s="83"/>
      <c r="J126" s="83"/>
    </row>
    <row r="127" spans="2:20" hidden="1" outlineLevel="1" x14ac:dyDescent="0.3">
      <c r="B127" s="182" t="s">
        <v>325</v>
      </c>
      <c r="C127" s="182" t="s">
        <v>326</v>
      </c>
      <c r="D127" s="83"/>
      <c r="E127" s="83"/>
      <c r="F127" s="83"/>
      <c r="G127" s="83"/>
      <c r="H127" s="83"/>
      <c r="I127" s="83"/>
      <c r="J127" s="83"/>
    </row>
    <row r="128" spans="2:20" hidden="1" outlineLevel="1" x14ac:dyDescent="0.3">
      <c r="B128" s="147" t="s">
        <v>331</v>
      </c>
      <c r="C128" s="147" t="s">
        <v>332</v>
      </c>
      <c r="D128" s="186">
        <v>2016</v>
      </c>
      <c r="E128" s="186">
        <v>2017</v>
      </c>
      <c r="F128" s="186">
        <v>2018</v>
      </c>
      <c r="G128" s="186">
        <v>2019</v>
      </c>
      <c r="H128" s="186" t="s">
        <v>317</v>
      </c>
      <c r="I128" s="186" t="s">
        <v>319</v>
      </c>
      <c r="J128" s="186" t="s">
        <v>407</v>
      </c>
    </row>
    <row r="129" spans="2:11" hidden="1" outlineLevel="1" x14ac:dyDescent="0.3">
      <c r="B129" t="s">
        <v>269</v>
      </c>
      <c r="C129" t="s">
        <v>323</v>
      </c>
      <c r="D129" s="288" t="e">
        <f>D122+G160</f>
        <v>#REF!</v>
      </c>
      <c r="E129" s="292" t="e">
        <f>E122+F160</f>
        <v>#REF!</v>
      </c>
      <c r="F129" s="288" t="e">
        <f>F122+E160</f>
        <v>#REF!</v>
      </c>
      <c r="G129" s="289" t="e">
        <f>G122+D160</f>
        <v>#REF!</v>
      </c>
      <c r="H129" s="288"/>
      <c r="I129" s="289"/>
      <c r="J129" s="288"/>
    </row>
    <row r="130" spans="2:11" hidden="1" outlineLevel="1" x14ac:dyDescent="0.3">
      <c r="B130" t="s">
        <v>270</v>
      </c>
      <c r="C130" t="s">
        <v>324</v>
      </c>
      <c r="D130" s="288" t="e">
        <f>D123+G167</f>
        <v>#REF!</v>
      </c>
      <c r="E130" s="292" t="e">
        <f>E123+F167</f>
        <v>#REF!</v>
      </c>
      <c r="F130" s="288" t="e">
        <f>F123+E167</f>
        <v>#REF!</v>
      </c>
      <c r="G130" s="289" t="e">
        <f>G123+D167</f>
        <v>#REF!</v>
      </c>
      <c r="H130" s="288"/>
      <c r="I130" s="289"/>
      <c r="J130" s="288"/>
    </row>
    <row r="131" spans="2:11" ht="15" hidden="1" outlineLevel="1" thickBot="1" x14ac:dyDescent="0.35">
      <c r="B131" s="183" t="s">
        <v>139</v>
      </c>
      <c r="C131" s="183" t="s">
        <v>139</v>
      </c>
      <c r="D131" s="290" t="e">
        <f>D124+G174</f>
        <v>#REF!</v>
      </c>
      <c r="E131" s="293" t="e">
        <f>E124+F174</f>
        <v>#REF!</v>
      </c>
      <c r="F131" s="290" t="e">
        <f>F124+E174</f>
        <v>#REF!</v>
      </c>
      <c r="G131" s="291" t="e">
        <f>G124+D174</f>
        <v>#REF!</v>
      </c>
      <c r="H131" s="290"/>
      <c r="I131" s="293"/>
      <c r="J131" s="290"/>
    </row>
    <row r="132" spans="2:11" hidden="1" outlineLevel="1" x14ac:dyDescent="0.3"/>
    <row r="133" spans="2:11" hidden="1" outlineLevel="1" x14ac:dyDescent="0.3"/>
    <row r="134" spans="2:11" hidden="1" outlineLevel="1" x14ac:dyDescent="0.3"/>
    <row r="135" spans="2:11" ht="101.4" hidden="1" outlineLevel="1" thickBot="1" x14ac:dyDescent="0.35">
      <c r="B135" s="260" t="s">
        <v>439</v>
      </c>
      <c r="D135" s="261" t="s">
        <v>427</v>
      </c>
      <c r="E135" s="262" t="s">
        <v>428</v>
      </c>
      <c r="F135" s="261" t="s">
        <v>429</v>
      </c>
      <c r="G135" s="261" t="s">
        <v>430</v>
      </c>
      <c r="H135" s="261" t="s">
        <v>267</v>
      </c>
      <c r="I135" s="261" t="s">
        <v>431</v>
      </c>
      <c r="J135" s="261" t="s">
        <v>354</v>
      </c>
    </row>
    <row r="136" spans="2:11" hidden="1" outlineLevel="1" x14ac:dyDescent="0.3">
      <c r="B136" s="263" t="s">
        <v>269</v>
      </c>
      <c r="D136" s="264">
        <v>14179.346353000001</v>
      </c>
      <c r="E136" s="264">
        <v>3584.9936440000001</v>
      </c>
      <c r="F136" s="264">
        <v>10746.656838999999</v>
      </c>
      <c r="G136" s="264">
        <v>11997.630348999999</v>
      </c>
      <c r="H136" s="264">
        <v>455.00343099999998</v>
      </c>
      <c r="I136" s="264">
        <v>-7982.3292099999999</v>
      </c>
      <c r="J136" s="265">
        <v>32981.301406000006</v>
      </c>
    </row>
    <row r="137" spans="2:11" hidden="1" outlineLevel="1" x14ac:dyDescent="0.3">
      <c r="B137" s="266" t="s">
        <v>169</v>
      </c>
      <c r="D137" s="267">
        <v>-9965.8493450000005</v>
      </c>
      <c r="E137" s="267">
        <v>-669.37559699999997</v>
      </c>
      <c r="F137" s="267">
        <v>-7808.7500980000004</v>
      </c>
      <c r="G137" s="267">
        <v>-11616.009585</v>
      </c>
      <c r="H137" s="267">
        <v>-614.62636399999997</v>
      </c>
      <c r="I137" s="267">
        <v>7602.1814219999997</v>
      </c>
      <c r="J137" s="268">
        <v>-23072.429567000003</v>
      </c>
    </row>
    <row r="138" spans="2:11" hidden="1" outlineLevel="1" x14ac:dyDescent="0.3">
      <c r="B138" s="266" t="s">
        <v>143</v>
      </c>
      <c r="D138" s="267">
        <v>-268.81010700000002</v>
      </c>
      <c r="E138" s="267">
        <v>-0.05</v>
      </c>
      <c r="F138" s="267">
        <v>-2445.5793829999998</v>
      </c>
      <c r="G138" s="267">
        <v>-100.72804099999999</v>
      </c>
      <c r="H138" s="267">
        <v>-954.87623699999995</v>
      </c>
      <c r="I138" s="267">
        <v>3.9919999999824497E-3</v>
      </c>
      <c r="J138" s="268">
        <v>-3770.0397760000001</v>
      </c>
    </row>
    <row r="139" spans="2:11" hidden="1" outlineLevel="1" x14ac:dyDescent="0.3">
      <c r="B139" s="266" t="s">
        <v>432</v>
      </c>
      <c r="D139" s="267">
        <v>-1072.0747389999999</v>
      </c>
      <c r="E139" s="267">
        <v>39.092208999999997</v>
      </c>
      <c r="F139" s="267">
        <v>-94.563053999999994</v>
      </c>
      <c r="G139" s="267">
        <v>4.7089590000000001</v>
      </c>
      <c r="H139" s="267">
        <v>-7.5942430000000005</v>
      </c>
      <c r="I139" s="267">
        <v>-8.5356749999999995</v>
      </c>
      <c r="J139" s="268">
        <v>-1138.9665429999998</v>
      </c>
      <c r="K139" s="267"/>
    </row>
    <row r="140" spans="2:11" hidden="1" outlineLevel="1" x14ac:dyDescent="0.3">
      <c r="B140" s="266" t="s">
        <v>433</v>
      </c>
      <c r="D140" s="267">
        <v>60.413164999999999</v>
      </c>
      <c r="E140" s="267">
        <v>0</v>
      </c>
      <c r="F140" s="267">
        <v>43.137740999999998</v>
      </c>
      <c r="G140" s="267">
        <v>0</v>
      </c>
      <c r="H140" s="267">
        <v>19.659490000000002</v>
      </c>
      <c r="I140" s="267">
        <v>389.01557700000001</v>
      </c>
      <c r="J140" s="268">
        <v>512.22597299999995</v>
      </c>
    </row>
    <row r="141" spans="2:11" ht="15" hidden="1" outlineLevel="1" thickTop="1" x14ac:dyDescent="0.3">
      <c r="B141" s="269" t="s">
        <v>434</v>
      </c>
      <c r="D141" s="270">
        <v>2933.0253269999994</v>
      </c>
      <c r="E141" s="270">
        <v>2954.6602560000001</v>
      </c>
      <c r="F141" s="270">
        <v>440.90204499999953</v>
      </c>
      <c r="G141" s="270">
        <v>285.60168200000044</v>
      </c>
      <c r="H141" s="270">
        <v>-1102.433923</v>
      </c>
      <c r="I141" s="270">
        <v>0.33610599999933038</v>
      </c>
      <c r="J141" s="271">
        <v>5512.0914930000017</v>
      </c>
    </row>
    <row r="142" spans="2:11" hidden="1" outlineLevel="1" x14ac:dyDescent="0.3">
      <c r="B142" s="272"/>
      <c r="D142" s="273"/>
      <c r="E142" s="273">
        <v>1000</v>
      </c>
      <c r="F142" s="273"/>
      <c r="G142" s="273"/>
      <c r="H142" s="273"/>
      <c r="I142" s="273"/>
      <c r="J142" s="273"/>
    </row>
    <row r="143" spans="2:11" hidden="1" outlineLevel="1" x14ac:dyDescent="0.3">
      <c r="B143" s="272"/>
      <c r="D143" s="273"/>
      <c r="E143" s="273"/>
      <c r="F143" s="273"/>
      <c r="G143" s="273"/>
      <c r="H143" s="273"/>
      <c r="I143" s="273"/>
      <c r="J143" s="273"/>
    </row>
    <row r="144" spans="2:11" ht="115.8" hidden="1" outlineLevel="1" thickBot="1" x14ac:dyDescent="0.35">
      <c r="B144" s="260" t="s">
        <v>440</v>
      </c>
      <c r="D144" s="274" t="s">
        <v>427</v>
      </c>
      <c r="E144" s="275" t="s">
        <v>428</v>
      </c>
      <c r="F144" s="274" t="s">
        <v>429</v>
      </c>
      <c r="G144" s="274" t="s">
        <v>430</v>
      </c>
      <c r="H144" s="274" t="s">
        <v>267</v>
      </c>
      <c r="I144" s="274" t="s">
        <v>431</v>
      </c>
      <c r="J144" s="274" t="s">
        <v>354</v>
      </c>
    </row>
    <row r="145" spans="2:12" hidden="1" outlineLevel="1" x14ac:dyDescent="0.3">
      <c r="B145" s="263" t="s">
        <v>269</v>
      </c>
      <c r="D145" s="264">
        <v>11699.308000000001</v>
      </c>
      <c r="E145" s="264">
        <v>2361.5630000000001</v>
      </c>
      <c r="F145" s="264">
        <v>9558.2109999999993</v>
      </c>
      <c r="G145" s="264">
        <v>9901.4330000000009</v>
      </c>
      <c r="H145" s="264">
        <v>416.065</v>
      </c>
      <c r="I145" s="264">
        <v>-8363.2303800000009</v>
      </c>
      <c r="J145" s="265">
        <v>25573.349619999997</v>
      </c>
    </row>
    <row r="146" spans="2:12" hidden="1" outlineLevel="1" x14ac:dyDescent="0.3">
      <c r="B146" s="266" t="s">
        <v>169</v>
      </c>
      <c r="D146" s="267">
        <v>-9538.7450000000008</v>
      </c>
      <c r="E146" s="267">
        <v>-492.32499999999999</v>
      </c>
      <c r="F146" s="267">
        <v>-5818.0392680000004</v>
      </c>
      <c r="G146" s="267">
        <v>-9243.9500000000007</v>
      </c>
      <c r="H146" s="267">
        <v>-560.20630200000005</v>
      </c>
      <c r="I146" s="267">
        <v>7373.6660000000002</v>
      </c>
      <c r="J146" s="268">
        <v>-18279.599569999998</v>
      </c>
    </row>
    <row r="147" spans="2:12" hidden="1" outlineLevel="1" x14ac:dyDescent="0.3">
      <c r="B147" s="266" t="s">
        <v>143</v>
      </c>
      <c r="D147" s="267">
        <v>-184.53700000000001</v>
      </c>
      <c r="E147" s="267">
        <v>0</v>
      </c>
      <c r="F147" s="267">
        <v>-2127.7919999999999</v>
      </c>
      <c r="G147" s="267">
        <v>-78.572999999999993</v>
      </c>
      <c r="H147" s="267">
        <v>-848.322</v>
      </c>
      <c r="I147" s="267">
        <v>156.29849999999999</v>
      </c>
      <c r="J147" s="268">
        <v>-3082.9254999999998</v>
      </c>
    </row>
    <row r="148" spans="2:12" hidden="1" outlineLevel="1" x14ac:dyDescent="0.3">
      <c r="B148" s="266" t="s">
        <v>432</v>
      </c>
      <c r="D148" s="267">
        <v>-752.26800000000003</v>
      </c>
      <c r="E148" s="267">
        <v>34.405999999999999</v>
      </c>
      <c r="F148" s="267">
        <v>-52.79</v>
      </c>
      <c r="G148" s="267">
        <v>5.6130000000000004</v>
      </c>
      <c r="H148" s="267">
        <v>-10.552</v>
      </c>
      <c r="I148" s="267">
        <v>51.453499999999998</v>
      </c>
      <c r="J148" s="268">
        <v>-724.13750000000005</v>
      </c>
    </row>
    <row r="149" spans="2:12" hidden="1" outlineLevel="1" x14ac:dyDescent="0.3">
      <c r="B149" s="266" t="s">
        <v>433</v>
      </c>
      <c r="D149" s="267">
        <v>25.309861000000001</v>
      </c>
      <c r="E149" s="267">
        <v>0</v>
      </c>
      <c r="F149" s="267">
        <v>255.15560399999998</v>
      </c>
      <c r="G149" s="267">
        <v>0</v>
      </c>
      <c r="H149" s="267">
        <v>12.028411</v>
      </c>
      <c r="I149" s="267">
        <v>0</v>
      </c>
      <c r="J149" s="268">
        <v>292.493876</v>
      </c>
    </row>
    <row r="150" spans="2:12" ht="15" hidden="1" outlineLevel="1" thickTop="1" x14ac:dyDescent="0.3">
      <c r="B150" s="269" t="s">
        <v>434</v>
      </c>
      <c r="D150" s="270">
        <v>1249.067861</v>
      </c>
      <c r="E150" s="270">
        <v>1903.644</v>
      </c>
      <c r="F150" s="270">
        <v>1814.745336</v>
      </c>
      <c r="G150" s="270">
        <v>584.52300000000002</v>
      </c>
      <c r="H150" s="270">
        <v>-990.98689100000001</v>
      </c>
      <c r="I150" s="270">
        <v>-781.81238000000087</v>
      </c>
      <c r="J150" s="271">
        <v>3779.1809259999973</v>
      </c>
    </row>
    <row r="151" spans="2:12" hidden="1" outlineLevel="1" x14ac:dyDescent="0.3"/>
    <row r="152" spans="2:12" hidden="1" outlineLevel="1" x14ac:dyDescent="0.3"/>
    <row r="153" spans="2:12" hidden="1" outlineLevel="1" x14ac:dyDescent="0.3">
      <c r="B153" s="63"/>
      <c r="D153" s="62">
        <v>43830</v>
      </c>
      <c r="E153" s="63">
        <v>43465</v>
      </c>
      <c r="F153" s="62">
        <v>43100</v>
      </c>
      <c r="G153" s="63">
        <v>42735</v>
      </c>
      <c r="H153" s="64" t="s">
        <v>261</v>
      </c>
    </row>
    <row r="154" spans="2:12" ht="27.6" hidden="1" outlineLevel="1" x14ac:dyDescent="0.3">
      <c r="B154" s="65" t="s">
        <v>271</v>
      </c>
      <c r="C154" s="65"/>
      <c r="D154" s="67" t="s">
        <v>262</v>
      </c>
      <c r="E154" s="67" t="s">
        <v>262</v>
      </c>
      <c r="F154" s="66" t="s">
        <v>262</v>
      </c>
      <c r="G154" s="67" t="s">
        <v>262</v>
      </c>
      <c r="H154" s="68" t="s">
        <v>337</v>
      </c>
    </row>
    <row r="155" spans="2:12" ht="27.6" hidden="1" outlineLevel="1" x14ac:dyDescent="0.3">
      <c r="B155" s="69" t="s">
        <v>400</v>
      </c>
      <c r="C155" s="73"/>
      <c r="D155" s="70">
        <v>11699.308056</v>
      </c>
      <c r="E155" s="71">
        <v>10230.591</v>
      </c>
      <c r="F155" s="70">
        <v>9557.5337209999998</v>
      </c>
      <c r="G155" s="71">
        <v>8291.0161179999996</v>
      </c>
      <c r="H155" s="72">
        <f>D155/E155-1</f>
        <v>0.14356131097411673</v>
      </c>
      <c r="K155" s="73"/>
      <c r="L155" s="81"/>
    </row>
    <row r="156" spans="2:12" ht="27.6" hidden="1" outlineLevel="1" x14ac:dyDescent="0.3">
      <c r="B156" s="73" t="s">
        <v>399</v>
      </c>
      <c r="C156" s="73"/>
      <c r="D156" s="74">
        <v>2361.5630350000001</v>
      </c>
      <c r="E156" s="43">
        <v>626.95699999999999</v>
      </c>
      <c r="F156" s="74">
        <v>837.77375500000005</v>
      </c>
      <c r="G156" s="43">
        <v>1015.4943420000001</v>
      </c>
      <c r="H156" s="75">
        <f t="shared" ref="H156:H175" si="0">D156/E156-1</f>
        <v>2.7667065444679619</v>
      </c>
      <c r="K156" s="73"/>
      <c r="L156" s="81"/>
    </row>
    <row r="157" spans="2:12" hidden="1" outlineLevel="1" x14ac:dyDescent="0.3">
      <c r="B157" s="73" t="s">
        <v>265</v>
      </c>
      <c r="C157" s="73"/>
      <c r="D157" s="74">
        <v>9558.2110150000008</v>
      </c>
      <c r="E157" s="43">
        <v>7581.6869999999999</v>
      </c>
      <c r="F157" s="74">
        <v>6216.3799730000001</v>
      </c>
      <c r="G157" s="43">
        <v>3897.1971610000001</v>
      </c>
      <c r="H157" s="75">
        <f t="shared" si="0"/>
        <v>0.26069712651023469</v>
      </c>
      <c r="K157" s="73"/>
      <c r="L157" s="81"/>
    </row>
    <row r="158" spans="2:12" hidden="1" outlineLevel="1" x14ac:dyDescent="0.3">
      <c r="B158" s="73" t="s">
        <v>266</v>
      </c>
      <c r="C158" s="73"/>
      <c r="D158" s="74">
        <v>9901.4330840000002</v>
      </c>
      <c r="E158" s="43">
        <v>6943.4889999999996</v>
      </c>
      <c r="F158" s="74">
        <v>5120.8255200000003</v>
      </c>
      <c r="G158" s="43">
        <v>3091.856252</v>
      </c>
      <c r="H158" s="75">
        <f t="shared" si="0"/>
        <v>0.4260025592321095</v>
      </c>
      <c r="K158" s="73"/>
      <c r="L158" s="81"/>
    </row>
    <row r="159" spans="2:12" hidden="1" outlineLevel="1" x14ac:dyDescent="0.3">
      <c r="B159" s="73" t="s">
        <v>267</v>
      </c>
      <c r="C159" s="73"/>
      <c r="D159" s="74">
        <v>416.06544100000002</v>
      </c>
      <c r="E159" s="43">
        <v>346.96300000000002</v>
      </c>
      <c r="F159" s="74">
        <v>346</v>
      </c>
      <c r="G159" s="43">
        <v>729.72434799999996</v>
      </c>
      <c r="H159" s="75">
        <f t="shared" si="0"/>
        <v>0.19916371774511976</v>
      </c>
      <c r="K159" s="73"/>
      <c r="L159" s="81"/>
    </row>
    <row r="160" spans="2:12" hidden="1" outlineLevel="1" x14ac:dyDescent="0.3">
      <c r="B160" s="73" t="s">
        <v>268</v>
      </c>
      <c r="C160" s="73"/>
      <c r="D160" s="74">
        <v>-8363.2303800000009</v>
      </c>
      <c r="E160" s="43">
        <f>+'éves P&amp;L_mérleg'!I73-SUM('szegmensek új '!E155:E159)</f>
        <v>-7043.9200000000019</v>
      </c>
      <c r="F160" s="74">
        <f>-3670-20</f>
        <v>-3690</v>
      </c>
      <c r="G160" s="43">
        <v>-3077.0695139999998</v>
      </c>
      <c r="H160" s="75">
        <f t="shared" si="0"/>
        <v>0.18729775182000918</v>
      </c>
    </row>
    <row r="161" spans="2:13" ht="15" hidden="1" outlineLevel="1" thickBot="1" x14ac:dyDescent="0.35">
      <c r="B161" s="76" t="s">
        <v>269</v>
      </c>
      <c r="C161" s="76"/>
      <c r="D161" s="77">
        <v>25573.350251000003</v>
      </c>
      <c r="E161" s="78">
        <f>+SUM(E155:E160)</f>
        <v>18685.767</v>
      </c>
      <c r="F161" s="77">
        <f>+SUM(F155:F160)</f>
        <v>18388.512969000003</v>
      </c>
      <c r="G161" s="78">
        <f>+SUM(G155:G160)</f>
        <v>13948.218707</v>
      </c>
      <c r="H161" s="79">
        <f t="shared" si="0"/>
        <v>0.36860051027073193</v>
      </c>
    </row>
    <row r="162" spans="2:13" hidden="1" outlineLevel="1" x14ac:dyDescent="0.3">
      <c r="B162" s="73" t="s">
        <v>263</v>
      </c>
      <c r="C162" s="73"/>
      <c r="D162" s="74">
        <v>-10450.240345</v>
      </c>
      <c r="E162" s="43">
        <f>-8697-30-426</f>
        <v>-9153</v>
      </c>
      <c r="F162" s="74">
        <f>-8660-1+217</f>
        <v>-8444</v>
      </c>
      <c r="G162" s="43">
        <v>-6694.334866000002</v>
      </c>
      <c r="H162" s="75">
        <f t="shared" si="0"/>
        <v>0.14172843275428826</v>
      </c>
    </row>
    <row r="163" spans="2:13" ht="27.6" hidden="1" outlineLevel="1" x14ac:dyDescent="0.3">
      <c r="B163" s="73" t="s">
        <v>264</v>
      </c>
      <c r="C163" s="73"/>
      <c r="D163" s="74">
        <v>-457.91884499999998</v>
      </c>
      <c r="E163" s="43">
        <f>-164-73+43</f>
        <v>-194</v>
      </c>
      <c r="F163" s="74">
        <f>-221-97+38</f>
        <v>-280</v>
      </c>
      <c r="G163" s="43">
        <v>-302.82872500000002</v>
      </c>
      <c r="H163" s="75">
        <f t="shared" si="0"/>
        <v>1.3604064175257733</v>
      </c>
    </row>
    <row r="164" spans="2:13" hidden="1" outlineLevel="1" x14ac:dyDescent="0.3">
      <c r="B164" s="73" t="s">
        <v>265</v>
      </c>
      <c r="C164" s="73"/>
      <c r="D164" s="74">
        <v>-7745.0220890000001</v>
      </c>
      <c r="E164" s="43">
        <f>-4927-1611+213</f>
        <v>-6325</v>
      </c>
      <c r="F164" s="74">
        <f>-3759-1345+55</f>
        <v>-5049</v>
      </c>
      <c r="G164" s="43">
        <v>-3133.6149570000002</v>
      </c>
      <c r="H164" s="75">
        <f t="shared" si="0"/>
        <v>0.22450942118577077</v>
      </c>
    </row>
    <row r="165" spans="2:13" hidden="1" outlineLevel="1" x14ac:dyDescent="0.3">
      <c r="B165" s="73" t="s">
        <v>266</v>
      </c>
      <c r="C165" s="73"/>
      <c r="D165" s="74">
        <v>-9316.9100830000007</v>
      </c>
      <c r="E165" s="43">
        <f>-6626-53+18</f>
        <v>-6661</v>
      </c>
      <c r="F165" s="74">
        <f>-5217-47+2</f>
        <v>-5262</v>
      </c>
      <c r="G165" s="43">
        <v>-2966.2490310000003</v>
      </c>
      <c r="H165" s="75">
        <f t="shared" si="0"/>
        <v>0.39872542906470509</v>
      </c>
    </row>
    <row r="166" spans="2:13" hidden="1" outlineLevel="1" x14ac:dyDescent="0.3">
      <c r="B166" s="73" t="s">
        <v>267</v>
      </c>
      <c r="C166" s="73"/>
      <c r="D166" s="74">
        <v>-1407.0520859999999</v>
      </c>
      <c r="E166" s="43">
        <f>-545-800-10</f>
        <v>-1355</v>
      </c>
      <c r="F166" s="74">
        <f>-407-681+9</f>
        <v>-1079</v>
      </c>
      <c r="G166" s="43">
        <v>-1614.6495629999999</v>
      </c>
      <c r="H166" s="75">
        <f t="shared" si="0"/>
        <v>3.8414823616236049E-2</v>
      </c>
    </row>
    <row r="167" spans="2:13" hidden="1" outlineLevel="1" x14ac:dyDescent="0.3">
      <c r="B167" s="73" t="s">
        <v>268</v>
      </c>
      <c r="C167" s="73"/>
      <c r="D167" s="74">
        <v>7582.9740929999989</v>
      </c>
      <c r="E167" s="43">
        <f>-E160-241</f>
        <v>6802.9200000000019</v>
      </c>
      <c r="F167" s="74">
        <f>-F160-13</f>
        <v>3677</v>
      </c>
      <c r="G167" s="43">
        <v>3077.0445830000003</v>
      </c>
      <c r="H167" s="75">
        <f t="shared" si="0"/>
        <v>0.1146645988781283</v>
      </c>
    </row>
    <row r="168" spans="2:13" ht="15" hidden="1" outlineLevel="1" thickBot="1" x14ac:dyDescent="0.35">
      <c r="B168" s="76" t="s">
        <v>270</v>
      </c>
      <c r="C168" s="76"/>
      <c r="D168" s="77">
        <v>-21794.169354999998</v>
      </c>
      <c r="E168" s="78">
        <f>+SUM(E162:E167)</f>
        <v>-16885.079999999998</v>
      </c>
      <c r="F168" s="77">
        <f>+SUM(F162:F167)</f>
        <v>-16437</v>
      </c>
      <c r="G168" s="78">
        <f>+SUM(G162:G167)</f>
        <v>-11634.632559</v>
      </c>
      <c r="H168" s="79">
        <f t="shared" si="0"/>
        <v>0.29073533290929032</v>
      </c>
    </row>
    <row r="169" spans="2:13" hidden="1" outlineLevel="1" x14ac:dyDescent="0.3">
      <c r="B169" s="73" t="s">
        <v>263</v>
      </c>
      <c r="C169" s="73"/>
      <c r="D169" s="74">
        <v>1249.0677110000006</v>
      </c>
      <c r="E169" s="43">
        <f t="shared" ref="E169:G174" si="1">+E155+E162</f>
        <v>1077.5910000000003</v>
      </c>
      <c r="F169" s="74">
        <f>+F155+F162</f>
        <v>1113.5337209999998</v>
      </c>
      <c r="G169" s="43">
        <f t="shared" si="1"/>
        <v>1596.6812519999976</v>
      </c>
      <c r="H169" s="75">
        <f t="shared" si="0"/>
        <v>0.15912967999918348</v>
      </c>
      <c r="L169" s="43"/>
      <c r="M169" s="81"/>
    </row>
    <row r="170" spans="2:13" ht="27.6" hidden="1" outlineLevel="1" x14ac:dyDescent="0.3">
      <c r="B170" s="73" t="s">
        <v>264</v>
      </c>
      <c r="C170" s="73"/>
      <c r="D170" s="74">
        <v>1903.6441900000002</v>
      </c>
      <c r="E170" s="43">
        <f t="shared" si="1"/>
        <v>432.95699999999999</v>
      </c>
      <c r="F170" s="74">
        <f t="shared" si="1"/>
        <v>557.77375500000005</v>
      </c>
      <c r="G170" s="43">
        <f t="shared" si="1"/>
        <v>712.66561700000011</v>
      </c>
      <c r="H170" s="75">
        <f t="shared" si="0"/>
        <v>3.3968435433541906</v>
      </c>
      <c r="L170" s="43"/>
      <c r="M170" s="81"/>
    </row>
    <row r="171" spans="2:13" hidden="1" outlineLevel="1" x14ac:dyDescent="0.3">
      <c r="B171" s="73" t="s">
        <v>265</v>
      </c>
      <c r="C171" s="73"/>
      <c r="D171" s="74">
        <v>1813.1889260000007</v>
      </c>
      <c r="E171" s="43">
        <f t="shared" si="1"/>
        <v>1256.6869999999999</v>
      </c>
      <c r="F171" s="74">
        <f t="shared" si="1"/>
        <v>1167.3799730000001</v>
      </c>
      <c r="G171" s="43">
        <f t="shared" si="1"/>
        <v>763.58220399999982</v>
      </c>
      <c r="H171" s="75">
        <f t="shared" si="0"/>
        <v>0.44283256371713953</v>
      </c>
      <c r="L171" s="43"/>
      <c r="M171" s="81"/>
    </row>
    <row r="172" spans="2:13" hidden="1" outlineLevel="1" x14ac:dyDescent="0.3">
      <c r="B172" s="73" t="s">
        <v>266</v>
      </c>
      <c r="C172" s="73"/>
      <c r="D172" s="74">
        <v>584.52300100000025</v>
      </c>
      <c r="E172" s="43">
        <f t="shared" si="1"/>
        <v>282.48899999999958</v>
      </c>
      <c r="F172" s="74">
        <f t="shared" si="1"/>
        <v>-141.17447999999968</v>
      </c>
      <c r="G172" s="43">
        <f t="shared" si="1"/>
        <v>125.60722099999975</v>
      </c>
      <c r="H172" s="75">
        <f t="shared" si="0"/>
        <v>1.0691885383147701</v>
      </c>
      <c r="L172" s="43"/>
      <c r="M172" s="81"/>
    </row>
    <row r="173" spans="2:13" hidden="1" outlineLevel="1" x14ac:dyDescent="0.3">
      <c r="B173" s="73" t="s">
        <v>267</v>
      </c>
      <c r="C173" s="73"/>
      <c r="D173" s="74">
        <v>-990.98664500000007</v>
      </c>
      <c r="E173" s="43">
        <f t="shared" si="1"/>
        <v>-1008.037</v>
      </c>
      <c r="F173" s="74">
        <f t="shared" si="1"/>
        <v>-733</v>
      </c>
      <c r="G173" s="43">
        <f t="shared" si="1"/>
        <v>-884.92521499999998</v>
      </c>
      <c r="H173" s="75">
        <f t="shared" si="0"/>
        <v>-1.6914413855840582E-2</v>
      </c>
      <c r="L173" s="43"/>
      <c r="M173" s="81"/>
    </row>
    <row r="174" spans="2:13" hidden="1" outlineLevel="1" x14ac:dyDescent="0.3">
      <c r="B174" s="73" t="s">
        <v>268</v>
      </c>
      <c r="C174" s="73"/>
      <c r="D174" s="74">
        <v>-780.25628700000129</v>
      </c>
      <c r="E174" s="43">
        <f t="shared" si="1"/>
        <v>-241</v>
      </c>
      <c r="F174" s="74">
        <f t="shared" si="1"/>
        <v>-13</v>
      </c>
      <c r="G174" s="43">
        <f t="shared" si="1"/>
        <v>-2.493099999946935E-2</v>
      </c>
      <c r="H174" s="75">
        <f t="shared" si="0"/>
        <v>2.2375779543568517</v>
      </c>
      <c r="L174" s="43"/>
      <c r="M174" s="81"/>
    </row>
    <row r="175" spans="2:13" ht="15" hidden="1" outlineLevel="1" thickBot="1" x14ac:dyDescent="0.35">
      <c r="B175" s="76" t="s">
        <v>139</v>
      </c>
      <c r="C175" s="76"/>
      <c r="D175" s="77">
        <v>3779.1808960000008</v>
      </c>
      <c r="E175" s="78">
        <f>+SUM(E169:E174)</f>
        <v>1800.6869999999997</v>
      </c>
      <c r="F175" s="77">
        <f>+SUM(F169:F174)</f>
        <v>1951.5129690000003</v>
      </c>
      <c r="G175" s="78">
        <f>+SUM(G169:G174)</f>
        <v>2313.586147999998</v>
      </c>
      <c r="H175" s="79">
        <f t="shared" si="0"/>
        <v>1.0987439216254695</v>
      </c>
    </row>
    <row r="176" spans="2:13" collapsed="1" x14ac:dyDescent="0.3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1229-50A7-4DE0-B8F3-1505BE2193FF}">
  <sheetPr codeName="Munka6"/>
  <dimension ref="A1:F72"/>
  <sheetViews>
    <sheetView topLeftCell="A17" zoomScale="70" zoomScaleNormal="70" workbookViewId="0">
      <selection activeCell="E37" sqref="E37"/>
    </sheetView>
  </sheetViews>
  <sheetFormatPr defaultColWidth="8.77734375" defaultRowHeight="14.4" outlineLevelCol="1" x14ac:dyDescent="0.3"/>
  <cols>
    <col min="1" max="1" width="37.109375" bestFit="1" customWidth="1"/>
    <col min="2" max="2" width="29.77734375" customWidth="1" outlineLevel="1"/>
    <col min="3" max="5" width="29.77734375" customWidth="1"/>
    <col min="6" max="6" width="34.33203125" customWidth="1"/>
  </cols>
  <sheetData>
    <row r="1" spans="1:6" x14ac:dyDescent="0.3">
      <c r="C1" s="63">
        <v>44012</v>
      </c>
      <c r="D1" s="181">
        <v>43646</v>
      </c>
      <c r="E1" s="63">
        <v>43281</v>
      </c>
      <c r="F1" s="62">
        <v>42916</v>
      </c>
    </row>
    <row r="2" spans="1:6" x14ac:dyDescent="0.3">
      <c r="A2" s="65" t="s">
        <v>271</v>
      </c>
      <c r="B2" s="65"/>
      <c r="C2" s="67" t="s">
        <v>262</v>
      </c>
      <c r="D2" s="66" t="s">
        <v>262</v>
      </c>
      <c r="E2" s="67" t="s">
        <v>262</v>
      </c>
      <c r="F2" s="66" t="s">
        <v>262</v>
      </c>
    </row>
    <row r="3" spans="1:6" ht="27.6" x14ac:dyDescent="0.3">
      <c r="A3" s="69" t="s">
        <v>263</v>
      </c>
      <c r="B3" s="73" t="s">
        <v>274</v>
      </c>
      <c r="C3" s="71">
        <v>7529.115777</v>
      </c>
      <c r="D3" s="70">
        <v>8408</v>
      </c>
      <c r="E3" s="71">
        <v>10230.591</v>
      </c>
      <c r="F3" s="70">
        <v>9557.5337209999998</v>
      </c>
    </row>
    <row r="4" spans="1:6" ht="27.6" x14ac:dyDescent="0.3">
      <c r="A4" s="73" t="s">
        <v>264</v>
      </c>
      <c r="B4" s="73" t="s">
        <v>275</v>
      </c>
      <c r="C4" s="43">
        <v>1824.9811460000001</v>
      </c>
      <c r="D4" s="74">
        <v>1594</v>
      </c>
      <c r="E4" s="43">
        <v>626.95699999999999</v>
      </c>
      <c r="F4" s="74">
        <v>837.77375500000005</v>
      </c>
    </row>
    <row r="5" spans="1:6" x14ac:dyDescent="0.3">
      <c r="A5" s="73" t="s">
        <v>265</v>
      </c>
      <c r="B5" s="73" t="s">
        <v>276</v>
      </c>
      <c r="C5" s="43">
        <v>5133.0467189999999</v>
      </c>
      <c r="D5" s="74">
        <v>7841</v>
      </c>
      <c r="E5" s="43">
        <v>7581.6869999999999</v>
      </c>
      <c r="F5" s="74">
        <v>6216.3799730000001</v>
      </c>
    </row>
    <row r="6" spans="1:6" x14ac:dyDescent="0.3">
      <c r="A6" s="73" t="s">
        <v>266</v>
      </c>
      <c r="B6" s="73" t="s">
        <v>277</v>
      </c>
      <c r="C6" s="43">
        <v>5652.4070730000003</v>
      </c>
      <c r="D6" s="74">
        <v>7038</v>
      </c>
      <c r="E6" s="43">
        <v>6943.4889999999996</v>
      </c>
      <c r="F6" s="74">
        <v>5120.8255200000003</v>
      </c>
    </row>
    <row r="7" spans="1:6" x14ac:dyDescent="0.3">
      <c r="A7" s="73" t="s">
        <v>267</v>
      </c>
      <c r="B7" s="73" t="s">
        <v>278</v>
      </c>
      <c r="C7" s="43">
        <v>221.013226</v>
      </c>
      <c r="D7" s="74">
        <v>303</v>
      </c>
      <c r="E7" s="43">
        <v>346.96300000000002</v>
      </c>
      <c r="F7" s="74">
        <v>346</v>
      </c>
    </row>
    <row r="8" spans="1:6" ht="15" thickBot="1" x14ac:dyDescent="0.35">
      <c r="A8" s="73" t="s">
        <v>268</v>
      </c>
      <c r="B8" s="73"/>
      <c r="C8" s="43">
        <v>-4197.0369069999997</v>
      </c>
      <c r="D8" s="74">
        <v>-7189</v>
      </c>
      <c r="E8" s="43">
        <v>-7043.9200000000019</v>
      </c>
      <c r="F8" s="74">
        <v>-3690</v>
      </c>
    </row>
    <row r="9" spans="1:6" ht="15" thickBot="1" x14ac:dyDescent="0.35">
      <c r="A9" s="76" t="s">
        <v>269</v>
      </c>
      <c r="B9" s="76"/>
      <c r="C9" s="78">
        <v>16163.527034000001</v>
      </c>
      <c r="D9" s="77">
        <f>SUM(D3:D8)</f>
        <v>17995</v>
      </c>
      <c r="E9" s="78">
        <v>18685.767</v>
      </c>
      <c r="F9" s="77">
        <v>18388.512969000003</v>
      </c>
    </row>
    <row r="10" spans="1:6" ht="27.6" x14ac:dyDescent="0.3">
      <c r="A10" s="73" t="s">
        <v>263</v>
      </c>
      <c r="B10" s="73"/>
      <c r="C10" s="43">
        <v>-6012.6980099999992</v>
      </c>
      <c r="D10" s="74">
        <v>-7250</v>
      </c>
      <c r="E10" s="43">
        <v>-9153</v>
      </c>
      <c r="F10" s="74">
        <v>-8444</v>
      </c>
    </row>
    <row r="11" spans="1:6" ht="27.6" x14ac:dyDescent="0.3">
      <c r="A11" s="73" t="s">
        <v>264</v>
      </c>
      <c r="B11" s="73"/>
      <c r="C11" s="43">
        <v>-279.25217900000001</v>
      </c>
      <c r="D11" s="74">
        <v>-324</v>
      </c>
      <c r="E11" s="43">
        <v>-194</v>
      </c>
      <c r="F11" s="74">
        <v>-280</v>
      </c>
    </row>
    <row r="12" spans="1:6" x14ac:dyDescent="0.3">
      <c r="A12" s="73" t="s">
        <v>265</v>
      </c>
      <c r="B12" s="73"/>
      <c r="C12" s="43">
        <v>-4719.0978519999999</v>
      </c>
      <c r="D12" s="74">
        <v>-6285</v>
      </c>
      <c r="E12" s="43">
        <v>-6325</v>
      </c>
      <c r="F12" s="74">
        <v>-5049</v>
      </c>
    </row>
    <row r="13" spans="1:6" x14ac:dyDescent="0.3">
      <c r="A13" s="73" t="s">
        <v>266</v>
      </c>
      <c r="B13" s="73"/>
      <c r="C13" s="43">
        <v>-5556.0948600000002</v>
      </c>
      <c r="D13" s="74">
        <v>-6684</v>
      </c>
      <c r="E13" s="43">
        <v>-6661</v>
      </c>
      <c r="F13" s="74">
        <v>-5262</v>
      </c>
    </row>
    <row r="14" spans="1:6" x14ac:dyDescent="0.3">
      <c r="A14" s="73" t="s">
        <v>267</v>
      </c>
      <c r="B14" s="73"/>
      <c r="C14" s="43">
        <v>-656.00283999999999</v>
      </c>
      <c r="D14" s="74">
        <v>-1018</v>
      </c>
      <c r="E14" s="43">
        <v>-1355</v>
      </c>
      <c r="F14" s="74">
        <v>-1079</v>
      </c>
    </row>
    <row r="15" spans="1:6" ht="15" thickBot="1" x14ac:dyDescent="0.35">
      <c r="A15" s="73" t="s">
        <v>268</v>
      </c>
      <c r="B15" s="73"/>
      <c r="C15" s="43">
        <v>4196.9958829999996</v>
      </c>
      <c r="D15" s="74">
        <v>6365</v>
      </c>
      <c r="E15" s="43">
        <v>6802.9200000000019</v>
      </c>
      <c r="F15" s="74">
        <v>3677</v>
      </c>
    </row>
    <row r="16" spans="1:6" ht="15" thickBot="1" x14ac:dyDescent="0.35">
      <c r="A16" s="76" t="s">
        <v>270</v>
      </c>
      <c r="B16" s="76"/>
      <c r="C16" s="78">
        <v>-13026.149858000001</v>
      </c>
      <c r="D16" s="77">
        <f>SUM(D10:D15)</f>
        <v>-15196</v>
      </c>
      <c r="E16" s="78">
        <v>-16885.079999999998</v>
      </c>
      <c r="F16" s="77">
        <v>-16437</v>
      </c>
    </row>
    <row r="17" spans="1:6" ht="27.6" x14ac:dyDescent="0.3">
      <c r="A17" s="73" t="s">
        <v>263</v>
      </c>
      <c r="B17" s="73" t="s">
        <v>274</v>
      </c>
      <c r="C17" s="43">
        <v>1516.4177670000004</v>
      </c>
      <c r="D17" s="74">
        <v>1158</v>
      </c>
      <c r="E17" s="43">
        <v>1077.5910000000003</v>
      </c>
      <c r="F17" s="74">
        <v>1113.5337209999998</v>
      </c>
    </row>
    <row r="18" spans="1:6" ht="27.6" x14ac:dyDescent="0.3">
      <c r="A18" s="73" t="s">
        <v>264</v>
      </c>
      <c r="B18" s="73" t="s">
        <v>275</v>
      </c>
      <c r="C18" s="43">
        <v>1545.728967</v>
      </c>
      <c r="D18" s="74">
        <v>1270</v>
      </c>
      <c r="E18" s="43">
        <v>432.95699999999999</v>
      </c>
      <c r="F18" s="74">
        <v>557.77375500000005</v>
      </c>
    </row>
    <row r="19" spans="1:6" x14ac:dyDescent="0.3">
      <c r="A19" s="73" t="s">
        <v>265</v>
      </c>
      <c r="B19" s="73" t="s">
        <v>276</v>
      </c>
      <c r="C19" s="43">
        <v>413.94886700000006</v>
      </c>
      <c r="D19" s="74">
        <v>1556</v>
      </c>
      <c r="E19" s="43">
        <v>1256.6869999999999</v>
      </c>
      <c r="F19" s="74">
        <v>1167.3799730000001</v>
      </c>
    </row>
    <row r="20" spans="1:6" x14ac:dyDescent="0.3">
      <c r="A20" s="73" t="s">
        <v>266</v>
      </c>
      <c r="B20" s="73" t="s">
        <v>277</v>
      </c>
      <c r="C20" s="43">
        <v>96.312212999999971</v>
      </c>
      <c r="D20" s="74">
        <v>354</v>
      </c>
      <c r="E20" s="43">
        <v>282.48899999999958</v>
      </c>
      <c r="F20" s="74">
        <v>-141.17447999999968</v>
      </c>
    </row>
    <row r="21" spans="1:6" x14ac:dyDescent="0.3">
      <c r="A21" s="73" t="s">
        <v>267</v>
      </c>
      <c r="B21" s="73" t="s">
        <v>278</v>
      </c>
      <c r="C21" s="43">
        <v>-434.98961399999996</v>
      </c>
      <c r="D21" s="74">
        <v>-715</v>
      </c>
      <c r="E21" s="43">
        <v>-1008.037</v>
      </c>
      <c r="F21" s="74">
        <v>-733</v>
      </c>
    </row>
    <row r="22" spans="1:6" ht="15" thickBot="1" x14ac:dyDescent="0.35">
      <c r="A22" s="73" t="s">
        <v>268</v>
      </c>
      <c r="B22" s="73"/>
      <c r="C22" s="43">
        <v>-4.1023999999766136E-2</v>
      </c>
      <c r="D22" s="74">
        <v>-824</v>
      </c>
      <c r="E22" s="43">
        <v>-241</v>
      </c>
      <c r="F22" s="74">
        <v>-13</v>
      </c>
    </row>
    <row r="23" spans="1:6" ht="15" thickBot="1" x14ac:dyDescent="0.35">
      <c r="A23" s="76" t="s">
        <v>139</v>
      </c>
      <c r="B23" s="76"/>
      <c r="C23" s="78">
        <v>3137.3771760000009</v>
      </c>
      <c r="D23" s="77">
        <f>SUM(D17:D22)</f>
        <v>2799</v>
      </c>
      <c r="E23" s="78">
        <v>1800.6869999999997</v>
      </c>
      <c r="F23" s="77">
        <v>1951.5129690000003</v>
      </c>
    </row>
    <row r="26" spans="1:6" x14ac:dyDescent="0.3">
      <c r="A26" s="190" t="s">
        <v>325</v>
      </c>
      <c r="B26" s="190" t="s">
        <v>326</v>
      </c>
      <c r="C26" s="43"/>
      <c r="D26" s="43"/>
      <c r="E26" s="43"/>
    </row>
    <row r="27" spans="1:6" x14ac:dyDescent="0.3">
      <c r="A27" s="191" t="s">
        <v>327</v>
      </c>
      <c r="B27" s="191" t="s">
        <v>328</v>
      </c>
      <c r="C27" s="187">
        <v>42916</v>
      </c>
      <c r="D27" s="187">
        <v>43281</v>
      </c>
      <c r="E27" s="187">
        <v>43646</v>
      </c>
      <c r="F27" s="187">
        <v>44012</v>
      </c>
    </row>
    <row r="28" spans="1:6" x14ac:dyDescent="0.3">
      <c r="A28" s="43" t="s">
        <v>269</v>
      </c>
      <c r="B28" s="43" t="s">
        <v>323</v>
      </c>
      <c r="C28" s="43">
        <f>F3</f>
        <v>9557.5337209999998</v>
      </c>
      <c r="D28" s="74">
        <v>4934</v>
      </c>
      <c r="E28" s="43">
        <f>D3</f>
        <v>8408</v>
      </c>
      <c r="F28" s="74">
        <f>C3</f>
        <v>7529.115777</v>
      </c>
    </row>
    <row r="29" spans="1:6" ht="15" thickBot="1" x14ac:dyDescent="0.35">
      <c r="A29" s="43" t="s">
        <v>270</v>
      </c>
      <c r="B29" s="43" t="s">
        <v>324</v>
      </c>
      <c r="C29" s="43">
        <f>F10</f>
        <v>-8444</v>
      </c>
      <c r="D29" s="74">
        <f>-4242-24-167</f>
        <v>-4433</v>
      </c>
      <c r="E29" s="43">
        <f>D10</f>
        <v>-7250</v>
      </c>
      <c r="F29" s="74">
        <f>C10</f>
        <v>-6012.6980099999992</v>
      </c>
    </row>
    <row r="30" spans="1:6" ht="15" thickBot="1" x14ac:dyDescent="0.35">
      <c r="A30" s="185" t="s">
        <v>139</v>
      </c>
      <c r="B30" s="185" t="s">
        <v>139</v>
      </c>
      <c r="C30" s="185">
        <f>F17</f>
        <v>1113.5337209999998</v>
      </c>
      <c r="D30" s="184">
        <v>502</v>
      </c>
      <c r="E30" s="185">
        <f>E28+E29</f>
        <v>1158</v>
      </c>
      <c r="F30" s="184">
        <f>F28+F29</f>
        <v>1516.4177670000008</v>
      </c>
    </row>
    <row r="33" spans="1:6" x14ac:dyDescent="0.3">
      <c r="A33" s="182" t="s">
        <v>325</v>
      </c>
      <c r="B33" s="182" t="s">
        <v>326</v>
      </c>
    </row>
    <row r="34" spans="1:6" x14ac:dyDescent="0.3">
      <c r="A34" s="147" t="s">
        <v>321</v>
      </c>
      <c r="B34" s="147" t="s">
        <v>322</v>
      </c>
      <c r="C34" s="187">
        <v>42916</v>
      </c>
      <c r="D34" s="187">
        <v>43281</v>
      </c>
      <c r="E34" s="187">
        <v>43646</v>
      </c>
      <c r="F34" s="187">
        <v>44012</v>
      </c>
    </row>
    <row r="35" spans="1:6" x14ac:dyDescent="0.3">
      <c r="A35" t="s">
        <v>269</v>
      </c>
      <c r="B35" t="s">
        <v>323</v>
      </c>
      <c r="C35" s="43">
        <f>F4</f>
        <v>837.77375500000005</v>
      </c>
      <c r="D35" s="74">
        <f>E4</f>
        <v>626.95699999999999</v>
      </c>
      <c r="E35" s="43">
        <f>D4</f>
        <v>1594</v>
      </c>
      <c r="F35" s="74">
        <f>C4</f>
        <v>1824.9811460000001</v>
      </c>
    </row>
    <row r="36" spans="1:6" ht="15" thickBot="1" x14ac:dyDescent="0.35">
      <c r="A36" t="s">
        <v>270</v>
      </c>
      <c r="B36" t="s">
        <v>324</v>
      </c>
      <c r="C36" s="43">
        <f>F11</f>
        <v>-280</v>
      </c>
      <c r="D36" s="74">
        <f>E11</f>
        <v>-194</v>
      </c>
      <c r="E36" s="43">
        <f>D11</f>
        <v>-324</v>
      </c>
      <c r="F36" s="74">
        <f>C11</f>
        <v>-279.25217900000001</v>
      </c>
    </row>
    <row r="37" spans="1:6" ht="15" thickBot="1" x14ac:dyDescent="0.35">
      <c r="A37" s="183" t="s">
        <v>139</v>
      </c>
      <c r="B37" s="183" t="s">
        <v>139</v>
      </c>
      <c r="C37" s="185">
        <f>F18</f>
        <v>557.77375500000005</v>
      </c>
      <c r="D37" s="184">
        <f>E18</f>
        <v>432.95699999999999</v>
      </c>
      <c r="E37" s="185">
        <f>E35+E36</f>
        <v>1270</v>
      </c>
      <c r="F37" s="184">
        <f>F35+F36</f>
        <v>1545.728967</v>
      </c>
    </row>
    <row r="40" spans="1:6" x14ac:dyDescent="0.3">
      <c r="A40" s="182" t="s">
        <v>325</v>
      </c>
      <c r="B40" s="182" t="s">
        <v>326</v>
      </c>
    </row>
    <row r="41" spans="1:6" x14ac:dyDescent="0.3">
      <c r="A41" s="147" t="s">
        <v>265</v>
      </c>
      <c r="B41" s="147" t="s">
        <v>276</v>
      </c>
      <c r="C41" s="187">
        <v>42916</v>
      </c>
      <c r="D41" s="187">
        <v>43281</v>
      </c>
      <c r="E41" s="187">
        <v>43646</v>
      </c>
      <c r="F41" s="187">
        <v>44012</v>
      </c>
    </row>
    <row r="42" spans="1:6" x14ac:dyDescent="0.3">
      <c r="A42" t="s">
        <v>269</v>
      </c>
      <c r="B42" t="s">
        <v>323</v>
      </c>
      <c r="C42" s="43">
        <f>F5</f>
        <v>6216.3799730000001</v>
      </c>
      <c r="D42" s="74">
        <f>E5</f>
        <v>7581.6869999999999</v>
      </c>
      <c r="E42" s="43">
        <f>D5</f>
        <v>7841</v>
      </c>
      <c r="F42" s="74">
        <f>C5</f>
        <v>5133.0467189999999</v>
      </c>
    </row>
    <row r="43" spans="1:6" ht="15" thickBot="1" x14ac:dyDescent="0.35">
      <c r="A43" t="s">
        <v>270</v>
      </c>
      <c r="B43" t="s">
        <v>324</v>
      </c>
      <c r="C43" s="43">
        <f>F12</f>
        <v>-5049</v>
      </c>
      <c r="D43" s="74">
        <f>E12</f>
        <v>-6325</v>
      </c>
      <c r="E43" s="43">
        <f>D12</f>
        <v>-6285</v>
      </c>
      <c r="F43" s="74">
        <f>C12</f>
        <v>-4719.0978519999999</v>
      </c>
    </row>
    <row r="44" spans="1:6" ht="15" thickBot="1" x14ac:dyDescent="0.35">
      <c r="A44" s="183" t="s">
        <v>139</v>
      </c>
      <c r="B44" s="183" t="s">
        <v>139</v>
      </c>
      <c r="C44" s="185">
        <f>F19</f>
        <v>1167.3799730000001</v>
      </c>
      <c r="D44" s="184">
        <f>E19</f>
        <v>1256.6869999999999</v>
      </c>
      <c r="E44" s="185">
        <f>E42+E43</f>
        <v>1556</v>
      </c>
      <c r="F44" s="184">
        <f>F42+F43</f>
        <v>413.94886700000006</v>
      </c>
    </row>
    <row r="47" spans="1:6" x14ac:dyDescent="0.3">
      <c r="A47" s="182" t="s">
        <v>325</v>
      </c>
      <c r="B47" s="182" t="s">
        <v>326</v>
      </c>
    </row>
    <row r="48" spans="1:6" x14ac:dyDescent="0.3">
      <c r="A48" s="147" t="s">
        <v>266</v>
      </c>
      <c r="B48" s="147" t="s">
        <v>329</v>
      </c>
      <c r="C48" s="187">
        <v>42916</v>
      </c>
      <c r="D48" s="187">
        <v>43281</v>
      </c>
      <c r="E48" s="187">
        <v>43646</v>
      </c>
      <c r="F48" s="187">
        <v>44012</v>
      </c>
    </row>
    <row r="49" spans="1:6" x14ac:dyDescent="0.3">
      <c r="A49" t="s">
        <v>269</v>
      </c>
      <c r="B49" t="s">
        <v>323</v>
      </c>
      <c r="C49" s="43">
        <f>F6</f>
        <v>5120.8255200000003</v>
      </c>
      <c r="D49" s="74">
        <f>E6</f>
        <v>6943.4889999999996</v>
      </c>
      <c r="E49" s="43">
        <f>D6</f>
        <v>7038</v>
      </c>
      <c r="F49" s="74">
        <f>C6</f>
        <v>5652.4070730000003</v>
      </c>
    </row>
    <row r="50" spans="1:6" ht="15" thickBot="1" x14ac:dyDescent="0.35">
      <c r="A50" t="s">
        <v>270</v>
      </c>
      <c r="B50" t="s">
        <v>324</v>
      </c>
      <c r="C50" s="43">
        <f>F13</f>
        <v>-5262</v>
      </c>
      <c r="D50" s="74">
        <f>E13</f>
        <v>-6661</v>
      </c>
      <c r="E50" s="43">
        <f>D13</f>
        <v>-6684</v>
      </c>
      <c r="F50" s="74">
        <f>C13</f>
        <v>-5556.0948600000002</v>
      </c>
    </row>
    <row r="51" spans="1:6" ht="15" thickBot="1" x14ac:dyDescent="0.35">
      <c r="A51" s="183" t="s">
        <v>139</v>
      </c>
      <c r="B51" s="183" t="s">
        <v>139</v>
      </c>
      <c r="C51" s="185">
        <f>F20</f>
        <v>-141.17447999999968</v>
      </c>
      <c r="D51" s="184">
        <f>E20</f>
        <v>282.48899999999958</v>
      </c>
      <c r="E51" s="185">
        <f>E49+E50</f>
        <v>354</v>
      </c>
      <c r="F51" s="184">
        <f>F49+F50</f>
        <v>96.312213000000156</v>
      </c>
    </row>
    <row r="54" spans="1:6" x14ac:dyDescent="0.3">
      <c r="A54" s="182" t="s">
        <v>325</v>
      </c>
      <c r="B54" s="182" t="s">
        <v>326</v>
      </c>
    </row>
    <row r="55" spans="1:6" x14ac:dyDescent="0.3">
      <c r="A55" s="147" t="s">
        <v>267</v>
      </c>
      <c r="B55" s="147" t="s">
        <v>278</v>
      </c>
      <c r="C55" s="187">
        <v>42916</v>
      </c>
      <c r="D55" s="187">
        <v>43281</v>
      </c>
      <c r="E55" s="187">
        <v>43646</v>
      </c>
      <c r="F55" s="187">
        <v>44012</v>
      </c>
    </row>
    <row r="56" spans="1:6" x14ac:dyDescent="0.3">
      <c r="A56" t="s">
        <v>269</v>
      </c>
      <c r="B56" t="s">
        <v>323</v>
      </c>
      <c r="C56" s="43">
        <f>F7</f>
        <v>346</v>
      </c>
      <c r="D56" s="74">
        <f>E7</f>
        <v>346.96300000000002</v>
      </c>
      <c r="E56" s="43">
        <f>D7</f>
        <v>303</v>
      </c>
      <c r="F56" s="74">
        <f>C7</f>
        <v>221.013226</v>
      </c>
    </row>
    <row r="57" spans="1:6" ht="15" thickBot="1" x14ac:dyDescent="0.35">
      <c r="A57" t="s">
        <v>270</v>
      </c>
      <c r="B57" t="s">
        <v>324</v>
      </c>
      <c r="C57" s="43">
        <f>F14</f>
        <v>-1079</v>
      </c>
      <c r="D57" s="74">
        <f>E14</f>
        <v>-1355</v>
      </c>
      <c r="E57" s="43">
        <f>D14</f>
        <v>-1018</v>
      </c>
      <c r="F57" s="74">
        <f>C14</f>
        <v>-656.00283999999999</v>
      </c>
    </row>
    <row r="58" spans="1:6" ht="15" thickBot="1" x14ac:dyDescent="0.35">
      <c r="A58" s="183" t="s">
        <v>139</v>
      </c>
      <c r="B58" s="183" t="s">
        <v>139</v>
      </c>
      <c r="C58" s="185">
        <f>F21</f>
        <v>-733</v>
      </c>
      <c r="D58" s="184">
        <f>E21</f>
        <v>-1008.037</v>
      </c>
      <c r="E58" s="185">
        <f>E56+E57</f>
        <v>-715</v>
      </c>
      <c r="F58" s="184">
        <f>F56+F57</f>
        <v>-434.98961399999996</v>
      </c>
    </row>
    <row r="61" spans="1:6" x14ac:dyDescent="0.3">
      <c r="A61" s="182" t="s">
        <v>325</v>
      </c>
      <c r="B61" s="182" t="s">
        <v>326</v>
      </c>
    </row>
    <row r="62" spans="1:6" x14ac:dyDescent="0.3">
      <c r="A62" s="147" t="s">
        <v>330</v>
      </c>
      <c r="B62" s="147" t="s">
        <v>333</v>
      </c>
      <c r="C62" s="187">
        <v>42916</v>
      </c>
      <c r="D62" s="187">
        <v>43281</v>
      </c>
      <c r="E62" s="187">
        <v>43646</v>
      </c>
      <c r="F62" s="187">
        <v>44012</v>
      </c>
    </row>
    <row r="63" spans="1:6" x14ac:dyDescent="0.3">
      <c r="A63" t="s">
        <v>269</v>
      </c>
      <c r="B63" t="s">
        <v>323</v>
      </c>
      <c r="C63" s="43">
        <f t="shared" ref="C63:D63" si="0">C56+C49+C42+C35+C28</f>
        <v>22078.512969000003</v>
      </c>
      <c r="D63" s="74">
        <f t="shared" si="0"/>
        <v>20433.095999999998</v>
      </c>
      <c r="E63" s="43">
        <f>D8</f>
        <v>-7189</v>
      </c>
      <c r="F63" s="74">
        <f>C8</f>
        <v>-4197.0369069999997</v>
      </c>
    </row>
    <row r="64" spans="1:6" ht="15" thickBot="1" x14ac:dyDescent="0.35">
      <c r="A64" t="s">
        <v>270</v>
      </c>
      <c r="B64" t="s">
        <v>324</v>
      </c>
      <c r="C64" s="43">
        <f>C57+C50+C43+C36+C29</f>
        <v>-20114</v>
      </c>
      <c r="D64" s="74">
        <f>D57+D50+D43+D36+D29</f>
        <v>-18968</v>
      </c>
      <c r="E64" s="43">
        <f>D15</f>
        <v>6365</v>
      </c>
      <c r="F64" s="74">
        <f>C15</f>
        <v>4196.9958829999996</v>
      </c>
    </row>
    <row r="65" spans="1:6" ht="15" thickBot="1" x14ac:dyDescent="0.35">
      <c r="A65" s="183" t="s">
        <v>139</v>
      </c>
      <c r="B65" s="183" t="s">
        <v>139</v>
      </c>
      <c r="C65" s="185">
        <f>C58+C51+C44+C37+C30</f>
        <v>1964.5129690000003</v>
      </c>
      <c r="D65" s="184">
        <f>D58+D51+D44+D37+D30</f>
        <v>1466.0959999999995</v>
      </c>
      <c r="E65" s="185">
        <f>E63+E64</f>
        <v>-824</v>
      </c>
      <c r="F65" s="184">
        <f>F63+F64</f>
        <v>-4.1024000000106753E-2</v>
      </c>
    </row>
    <row r="68" spans="1:6" x14ac:dyDescent="0.3">
      <c r="A68" s="182" t="s">
        <v>325</v>
      </c>
      <c r="B68" s="182" t="s">
        <v>326</v>
      </c>
    </row>
    <row r="69" spans="1:6" x14ac:dyDescent="0.3">
      <c r="A69" s="147" t="s">
        <v>331</v>
      </c>
      <c r="B69" s="147" t="s">
        <v>332</v>
      </c>
      <c r="C69" s="187">
        <v>42916</v>
      </c>
      <c r="D69" s="187">
        <v>43281</v>
      </c>
      <c r="E69" s="187">
        <v>43646</v>
      </c>
      <c r="F69" s="187">
        <v>44012</v>
      </c>
    </row>
    <row r="70" spans="1:6" x14ac:dyDescent="0.3">
      <c r="A70" t="s">
        <v>269</v>
      </c>
      <c r="B70" t="s">
        <v>323</v>
      </c>
      <c r="C70" s="43">
        <f>C63+F8</f>
        <v>18388.512969000003</v>
      </c>
      <c r="D70" s="74">
        <f>D63+E8</f>
        <v>13389.175999999996</v>
      </c>
      <c r="F70" s="74"/>
    </row>
    <row r="71" spans="1:6" ht="15" thickBot="1" x14ac:dyDescent="0.35">
      <c r="A71" t="s">
        <v>270</v>
      </c>
      <c r="B71" t="s">
        <v>324</v>
      </c>
      <c r="C71" s="43">
        <f>C64+F15</f>
        <v>-16437</v>
      </c>
      <c r="D71" s="74">
        <f>D64+E15</f>
        <v>-12165.079999999998</v>
      </c>
      <c r="F71" s="74"/>
    </row>
    <row r="72" spans="1:6" ht="15" thickBot="1" x14ac:dyDescent="0.35">
      <c r="A72" s="183" t="s">
        <v>139</v>
      </c>
      <c r="B72" s="183" t="s">
        <v>139</v>
      </c>
      <c r="C72" s="185">
        <f>C65+F22</f>
        <v>1951.5129690000003</v>
      </c>
      <c r="D72" s="184">
        <f>D65+E22</f>
        <v>1225.0959999999995</v>
      </c>
      <c r="E72" s="183"/>
      <c r="F72" s="18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872D9-B725-4D9F-8AF9-1C9F6C2EED5F}">
  <sheetPr codeName="Munka7"/>
  <dimension ref="B2:AB82"/>
  <sheetViews>
    <sheetView topLeftCell="A29" workbookViewId="0">
      <selection activeCell="M27" sqref="M27:N27"/>
    </sheetView>
  </sheetViews>
  <sheetFormatPr defaultColWidth="8.77734375" defaultRowHeight="14.4" outlineLevelRow="1" outlineLevelCol="1" x14ac:dyDescent="0.3"/>
  <cols>
    <col min="1" max="1" width="4.6640625" customWidth="1"/>
    <col min="2" max="2" width="44.44140625" customWidth="1"/>
    <col min="3" max="3" width="37" hidden="1" customWidth="1" outlineLevel="1"/>
    <col min="4" max="4" width="9.109375" collapsed="1"/>
    <col min="9" max="12" width="10.33203125" customWidth="1"/>
    <col min="13" max="14" width="10.33203125" style="385" customWidth="1"/>
    <col min="15" max="15" width="7.44140625" customWidth="1"/>
    <col min="16" max="16" width="41.77734375" hidden="1" customWidth="1" outlineLevel="1"/>
    <col min="17" max="17" width="50.33203125" customWidth="1" collapsed="1"/>
    <col min="22" max="24" width="12.109375" bestFit="1" customWidth="1"/>
    <col min="25" max="25" width="13.33203125" bestFit="1" customWidth="1"/>
    <col min="26" max="26" width="12.44140625" customWidth="1"/>
  </cols>
  <sheetData>
    <row r="2" spans="2:28" ht="15" thickBot="1" x14ac:dyDescent="0.35"/>
    <row r="3" spans="2:28" ht="15" thickBot="1" x14ac:dyDescent="0.35">
      <c r="B3" s="202" t="s">
        <v>342</v>
      </c>
      <c r="C3" s="202" t="s">
        <v>343</v>
      </c>
      <c r="D3" s="203">
        <v>2013</v>
      </c>
      <c r="E3" s="203">
        <f>+D3+1</f>
        <v>2014</v>
      </c>
      <c r="F3" s="203">
        <f t="shared" ref="F3:N3" si="0">+E3+1</f>
        <v>2015</v>
      </c>
      <c r="G3" s="203">
        <f t="shared" si="0"/>
        <v>2016</v>
      </c>
      <c r="H3" s="203">
        <f t="shared" si="0"/>
        <v>2017</v>
      </c>
      <c r="I3" s="203">
        <f t="shared" si="0"/>
        <v>2018</v>
      </c>
      <c r="J3" s="203">
        <f t="shared" si="0"/>
        <v>2019</v>
      </c>
      <c r="K3" s="314">
        <f t="shared" si="0"/>
        <v>2020</v>
      </c>
      <c r="L3" s="314">
        <f t="shared" si="0"/>
        <v>2021</v>
      </c>
      <c r="M3" s="401">
        <f t="shared" si="0"/>
        <v>2022</v>
      </c>
      <c r="N3" s="402">
        <f t="shared" si="0"/>
        <v>2023</v>
      </c>
      <c r="P3" s="204" t="s">
        <v>344</v>
      </c>
      <c r="Q3" s="205" t="s">
        <v>345</v>
      </c>
      <c r="R3" s="321">
        <v>2013</v>
      </c>
      <c r="S3" s="48">
        <f>+R3+1</f>
        <v>2014</v>
      </c>
      <c r="T3" s="48">
        <f t="shared" ref="T3:X3" si="1">+S3+1</f>
        <v>2015</v>
      </c>
      <c r="U3" s="48">
        <f t="shared" si="1"/>
        <v>2016</v>
      </c>
      <c r="V3" s="48">
        <f t="shared" si="1"/>
        <v>2017</v>
      </c>
      <c r="W3" s="48">
        <f t="shared" si="1"/>
        <v>2018</v>
      </c>
      <c r="X3" s="48">
        <f t="shared" si="1"/>
        <v>2019</v>
      </c>
      <c r="Y3" s="320">
        <f>+X3+1</f>
        <v>2020</v>
      </c>
      <c r="Z3" s="320">
        <f>+Y3+1</f>
        <v>2021</v>
      </c>
      <c r="AA3" s="320">
        <f>+Z3+1</f>
        <v>2022</v>
      </c>
      <c r="AB3" s="413">
        <v>2023</v>
      </c>
    </row>
    <row r="4" spans="2:28" x14ac:dyDescent="0.3">
      <c r="B4" s="206" t="s">
        <v>346</v>
      </c>
      <c r="C4" s="206" t="s">
        <v>346</v>
      </c>
      <c r="D4" s="207">
        <v>399191</v>
      </c>
      <c r="E4" s="208">
        <v>303406</v>
      </c>
      <c r="F4" s="208">
        <v>148227</v>
      </c>
      <c r="G4" s="208">
        <v>43775.493999999999</v>
      </c>
      <c r="H4" s="208">
        <v>48214</v>
      </c>
      <c r="I4" s="208">
        <v>39673.569049999998</v>
      </c>
      <c r="J4" s="208">
        <v>39398</v>
      </c>
      <c r="K4" s="208">
        <v>51944.600000000006</v>
      </c>
      <c r="L4" s="208">
        <v>83807.076000000001</v>
      </c>
      <c r="M4" s="208">
        <v>44791.199999999997</v>
      </c>
      <c r="N4" s="403">
        <v>42604</v>
      </c>
      <c r="P4" s="209" t="s">
        <v>347</v>
      </c>
      <c r="Q4" s="209" t="s">
        <v>348</v>
      </c>
      <c r="R4" s="322">
        <v>85180.214999999997</v>
      </c>
      <c r="S4" s="211">
        <v>117530.183</v>
      </c>
      <c r="T4" s="211">
        <v>157858.92000000001</v>
      </c>
      <c r="U4" s="211">
        <v>173132.1</v>
      </c>
      <c r="V4" s="211">
        <v>316330</v>
      </c>
      <c r="W4" s="211">
        <v>367315</v>
      </c>
      <c r="X4" s="211">
        <v>405701</v>
      </c>
      <c r="Y4" s="211">
        <v>485122</v>
      </c>
      <c r="Z4" s="211">
        <v>503881</v>
      </c>
      <c r="AA4" s="211">
        <v>317415</v>
      </c>
      <c r="AB4" s="212">
        <v>189256</v>
      </c>
    </row>
    <row r="5" spans="2:28" x14ac:dyDescent="0.3">
      <c r="B5" s="209" t="s">
        <v>349</v>
      </c>
      <c r="C5" s="209" t="s">
        <v>349</v>
      </c>
      <c r="D5" s="210">
        <v>266266.05068197998</v>
      </c>
      <c r="E5" s="211">
        <v>217015.65134144499</v>
      </c>
      <c r="F5" s="211">
        <v>201360.24492105551</v>
      </c>
      <c r="G5" s="211">
        <v>232809.0114059168</v>
      </c>
      <c r="H5" s="211">
        <v>331962</v>
      </c>
      <c r="I5" s="211">
        <v>305538.51158999995</v>
      </c>
      <c r="J5" s="211">
        <v>295708</v>
      </c>
      <c r="K5" s="211">
        <v>365699</v>
      </c>
      <c r="L5" s="211">
        <v>464514.82290000003</v>
      </c>
      <c r="M5" s="211">
        <v>435747</v>
      </c>
      <c r="N5" s="404">
        <v>338748.5</v>
      </c>
      <c r="P5" s="209" t="s">
        <v>350</v>
      </c>
      <c r="Q5" s="209" t="s">
        <v>351</v>
      </c>
      <c r="R5" s="322"/>
      <c r="S5" s="211"/>
      <c r="T5" s="211"/>
      <c r="U5" s="211">
        <f>106113.88/3.6</f>
        <v>29476.077777777777</v>
      </c>
      <c r="V5" s="211">
        <v>100254</v>
      </c>
      <c r="W5" s="211">
        <v>138813</v>
      </c>
      <c r="X5" s="211">
        <v>202550</v>
      </c>
      <c r="Y5" s="211">
        <v>248806</v>
      </c>
      <c r="Z5" s="211">
        <v>289107</v>
      </c>
      <c r="AA5" s="211">
        <v>219318</v>
      </c>
      <c r="AB5" s="212">
        <v>143028</v>
      </c>
    </row>
    <row r="6" spans="2:28" ht="15" thickBot="1" x14ac:dyDescent="0.35">
      <c r="B6" s="209" t="s">
        <v>352</v>
      </c>
      <c r="C6" s="209" t="s">
        <v>352</v>
      </c>
      <c r="D6" s="210"/>
      <c r="E6" s="211"/>
      <c r="F6" s="211">
        <v>457309.22269000002</v>
      </c>
      <c r="G6" s="211">
        <v>463806.95</v>
      </c>
      <c r="H6" s="211">
        <v>541581.95595043001</v>
      </c>
      <c r="I6" s="211">
        <v>487025.41769031755</v>
      </c>
      <c r="J6" s="211">
        <v>478057.28912492347</v>
      </c>
      <c r="K6" s="211">
        <v>512785</v>
      </c>
      <c r="L6" s="211">
        <v>557790.16776193294</v>
      </c>
      <c r="M6" s="211">
        <v>417937</v>
      </c>
      <c r="N6" s="404">
        <v>414176</v>
      </c>
      <c r="P6" s="213" t="s">
        <v>353</v>
      </c>
      <c r="Q6" s="213" t="s">
        <v>354</v>
      </c>
      <c r="R6" s="323">
        <f>SUM(R4:R5)</f>
        <v>85180.214999999997</v>
      </c>
      <c r="S6" s="214">
        <f t="shared" ref="S6:W6" si="2">SUM(S4:S5)</f>
        <v>117530.183</v>
      </c>
      <c r="T6" s="214">
        <f t="shared" si="2"/>
        <v>157858.92000000001</v>
      </c>
      <c r="U6" s="214">
        <f t="shared" si="2"/>
        <v>202608.17777777778</v>
      </c>
      <c r="V6" s="214">
        <f t="shared" si="2"/>
        <v>416584</v>
      </c>
      <c r="W6" s="214">
        <f t="shared" si="2"/>
        <v>506128</v>
      </c>
      <c r="X6" s="214">
        <f t="shared" ref="X6:Y6" si="3">SUM(X4:X5)</f>
        <v>608251</v>
      </c>
      <c r="Y6" s="214">
        <f t="shared" si="3"/>
        <v>733928</v>
      </c>
      <c r="Z6" s="214">
        <f t="shared" ref="Z6:AB6" si="4">SUM(Z4:Z5)</f>
        <v>792988</v>
      </c>
      <c r="AA6" s="214">
        <f t="shared" si="4"/>
        <v>536733</v>
      </c>
      <c r="AB6" s="414">
        <f t="shared" si="4"/>
        <v>332284</v>
      </c>
    </row>
    <row r="7" spans="2:28" x14ac:dyDescent="0.3">
      <c r="B7" s="209" t="s">
        <v>355</v>
      </c>
      <c r="C7" s="209" t="s">
        <v>355</v>
      </c>
      <c r="D7" s="210"/>
      <c r="E7" s="211"/>
      <c r="F7" s="211">
        <v>237648.30602127299</v>
      </c>
      <c r="G7" s="211">
        <v>249692.21717421999</v>
      </c>
      <c r="H7" s="211">
        <v>203582.07484354469</v>
      </c>
      <c r="I7" s="211">
        <v>200175.0593283661</v>
      </c>
      <c r="J7" s="211">
        <v>220807</v>
      </c>
      <c r="K7" s="211">
        <v>235597</v>
      </c>
      <c r="L7" s="211">
        <v>235351.51262026397</v>
      </c>
      <c r="M7" s="211">
        <v>182520</v>
      </c>
      <c r="N7" s="404">
        <v>259825</v>
      </c>
    </row>
    <row r="8" spans="2:28" x14ac:dyDescent="0.3">
      <c r="B8" s="209" t="s">
        <v>356</v>
      </c>
      <c r="C8" s="209" t="s">
        <v>356</v>
      </c>
      <c r="D8" s="210"/>
      <c r="E8" s="211"/>
      <c r="F8" s="211">
        <v>304577.35402476275</v>
      </c>
      <c r="G8" s="211">
        <v>300125.81178366736</v>
      </c>
      <c r="H8" s="211">
        <v>348465.54973823036</v>
      </c>
      <c r="I8" s="211">
        <v>315289.15484692995</v>
      </c>
      <c r="J8" s="211">
        <v>304573</v>
      </c>
      <c r="K8" s="211">
        <v>331598</v>
      </c>
      <c r="L8" s="211">
        <v>372619.18272712402</v>
      </c>
      <c r="M8" s="211">
        <v>323940</v>
      </c>
      <c r="N8" s="404">
        <v>252187</v>
      </c>
    </row>
    <row r="9" spans="2:28" ht="15" thickBot="1" x14ac:dyDescent="0.35">
      <c r="B9" s="209" t="s">
        <v>357</v>
      </c>
      <c r="C9" s="209" t="s">
        <v>357</v>
      </c>
      <c r="D9" s="210"/>
      <c r="E9" s="211"/>
      <c r="F9" s="211">
        <v>822446.15533776931</v>
      </c>
      <c r="G9" s="211">
        <v>792317.9365500001</v>
      </c>
      <c r="H9" s="211">
        <v>774711.96727000002</v>
      </c>
      <c r="I9" s="211">
        <v>629979.12952239998</v>
      </c>
      <c r="J9" s="211">
        <v>729525</v>
      </c>
      <c r="K9" s="211">
        <v>717283</v>
      </c>
      <c r="L9" s="211">
        <v>750463.65935000009</v>
      </c>
      <c r="M9" s="211">
        <v>709714</v>
      </c>
      <c r="N9" s="404">
        <v>913724.75</v>
      </c>
    </row>
    <row r="10" spans="2:28" ht="15" hidden="1" outlineLevel="1" thickBot="1" x14ac:dyDescent="0.35">
      <c r="B10" s="215" t="s">
        <v>358</v>
      </c>
      <c r="C10" s="215" t="s">
        <v>358</v>
      </c>
      <c r="D10" s="216">
        <v>4198.1170928299998</v>
      </c>
      <c r="E10" s="217">
        <v>2447.26025566</v>
      </c>
      <c r="F10" s="217">
        <v>1129.403577</v>
      </c>
      <c r="G10" s="217">
        <v>196.91644602942011</v>
      </c>
      <c r="H10" s="217">
        <v>4277.7777183440003</v>
      </c>
      <c r="I10" s="217">
        <v>8140.0902811059996</v>
      </c>
      <c r="J10" s="217">
        <v>5428</v>
      </c>
      <c r="K10" s="217">
        <v>3221</v>
      </c>
      <c r="L10" s="217">
        <v>0</v>
      </c>
      <c r="M10" s="217">
        <v>0</v>
      </c>
      <c r="N10" s="405">
        <v>0</v>
      </c>
    </row>
    <row r="11" spans="2:28" ht="15" collapsed="1" thickBot="1" x14ac:dyDescent="0.35">
      <c r="B11" s="218" t="s">
        <v>353</v>
      </c>
      <c r="C11" s="218" t="s">
        <v>354</v>
      </c>
      <c r="D11" s="219">
        <f>SUM(D4:D10)</f>
        <v>669655.16777480999</v>
      </c>
      <c r="E11" s="220">
        <f t="shared" ref="E11:J11" si="5">SUM(E4:E10)</f>
        <v>522868.91159710498</v>
      </c>
      <c r="F11" s="220">
        <f t="shared" si="5"/>
        <v>2172697.6865718607</v>
      </c>
      <c r="G11" s="220">
        <f t="shared" si="5"/>
        <v>2082724.3373598338</v>
      </c>
      <c r="H11" s="220">
        <f t="shared" si="5"/>
        <v>2252795.325520549</v>
      </c>
      <c r="I11" s="220">
        <f t="shared" si="5"/>
        <v>1985820.9323091195</v>
      </c>
      <c r="J11" s="220">
        <f t="shared" si="5"/>
        <v>2073496.2891249235</v>
      </c>
      <c r="K11" s="220">
        <f>SUM(K4:K10)</f>
        <v>2218127.6</v>
      </c>
      <c r="L11" s="220">
        <f>SUM(L4:L10)</f>
        <v>2464546.4213593211</v>
      </c>
      <c r="M11" s="220">
        <f>SUM(M4:M10)</f>
        <v>2114649.2000000002</v>
      </c>
      <c r="N11" s="406">
        <f>SUM(N4:N10)</f>
        <v>2221265.25</v>
      </c>
    </row>
    <row r="13" spans="2:28" ht="15" thickBot="1" x14ac:dyDescent="0.35"/>
    <row r="14" spans="2:28" ht="15" thickBot="1" x14ac:dyDescent="0.35">
      <c r="B14" s="221" t="s">
        <v>359</v>
      </c>
      <c r="C14" s="316" t="s">
        <v>360</v>
      </c>
      <c r="D14" s="203">
        <v>2013</v>
      </c>
      <c r="E14" s="203">
        <f>+D14+1</f>
        <v>2014</v>
      </c>
      <c r="F14" s="203">
        <f t="shared" ref="F14:N14" si="6">+E14+1</f>
        <v>2015</v>
      </c>
      <c r="G14" s="203">
        <f t="shared" si="6"/>
        <v>2016</v>
      </c>
      <c r="H14" s="203">
        <f t="shared" si="6"/>
        <v>2017</v>
      </c>
      <c r="I14" s="203">
        <f t="shared" si="6"/>
        <v>2018</v>
      </c>
      <c r="J14" s="203">
        <f t="shared" si="6"/>
        <v>2019</v>
      </c>
      <c r="K14" s="314">
        <f t="shared" si="6"/>
        <v>2020</v>
      </c>
      <c r="L14" s="314">
        <f t="shared" si="6"/>
        <v>2021</v>
      </c>
      <c r="M14" s="314">
        <f t="shared" si="6"/>
        <v>2022</v>
      </c>
      <c r="N14" s="402">
        <f t="shared" si="6"/>
        <v>2023</v>
      </c>
      <c r="P14" s="205" t="s">
        <v>361</v>
      </c>
      <c r="Q14" s="205" t="s">
        <v>362</v>
      </c>
      <c r="R14" s="48">
        <v>2013</v>
      </c>
      <c r="S14" s="48">
        <f>+R14+1</f>
        <v>2014</v>
      </c>
      <c r="T14" s="48">
        <f t="shared" ref="T14:AA14" si="7">+S14+1</f>
        <v>2015</v>
      </c>
      <c r="U14" s="48">
        <f t="shared" si="7"/>
        <v>2016</v>
      </c>
      <c r="V14" s="48">
        <f t="shared" si="7"/>
        <v>2017</v>
      </c>
      <c r="W14" s="48">
        <f t="shared" si="7"/>
        <v>2018</v>
      </c>
      <c r="X14" s="48">
        <f t="shared" si="7"/>
        <v>2019</v>
      </c>
      <c r="Y14" s="320">
        <f t="shared" si="7"/>
        <v>2020</v>
      </c>
      <c r="Z14" s="320">
        <f t="shared" si="7"/>
        <v>2021</v>
      </c>
      <c r="AA14" s="320">
        <f t="shared" si="7"/>
        <v>2022</v>
      </c>
      <c r="AB14" s="413">
        <v>2023</v>
      </c>
    </row>
    <row r="15" spans="2:28" ht="15" thickBot="1" x14ac:dyDescent="0.35">
      <c r="B15" s="222" t="s">
        <v>346</v>
      </c>
      <c r="C15" s="317" t="s">
        <v>346</v>
      </c>
      <c r="D15" s="207">
        <v>13064.129000000001</v>
      </c>
      <c r="E15" s="208">
        <v>8267.2520000000004</v>
      </c>
      <c r="F15" s="208">
        <v>705.72900000000004</v>
      </c>
      <c r="G15" s="208">
        <v>414.31824999999998</v>
      </c>
      <c r="H15" s="208">
        <v>2003.3050000000001</v>
      </c>
      <c r="I15" s="208">
        <v>1224.7750000000001</v>
      </c>
      <c r="J15" s="208">
        <v>1067.56</v>
      </c>
      <c r="K15" s="208">
        <v>2377.127</v>
      </c>
      <c r="L15" s="208">
        <v>5495.5048299999999</v>
      </c>
      <c r="M15" s="208">
        <v>1915.3920000000001</v>
      </c>
      <c r="N15" s="403">
        <v>2338.2640000000001</v>
      </c>
      <c r="P15" s="248" t="s">
        <v>348</v>
      </c>
      <c r="Q15" s="249" t="s">
        <v>348</v>
      </c>
      <c r="R15" s="238">
        <v>85180.214999999997</v>
      </c>
      <c r="S15" s="238">
        <v>152534.13</v>
      </c>
      <c r="T15" s="238">
        <v>215698.99</v>
      </c>
      <c r="U15" s="238">
        <v>203952.98</v>
      </c>
      <c r="V15" s="238">
        <v>271240</v>
      </c>
      <c r="W15" s="238">
        <v>269320</v>
      </c>
      <c r="X15" s="238">
        <v>238198</v>
      </c>
      <c r="Y15" s="324">
        <v>296504.74</v>
      </c>
      <c r="Z15" s="324">
        <v>294563</v>
      </c>
      <c r="AA15" s="211">
        <v>482603</v>
      </c>
      <c r="AB15" s="212">
        <v>494429</v>
      </c>
    </row>
    <row r="16" spans="2:28" ht="18.45" customHeight="1" thickBot="1" x14ac:dyDescent="0.35">
      <c r="B16" s="209" t="s">
        <v>349</v>
      </c>
      <c r="C16" s="318" t="s">
        <v>349</v>
      </c>
      <c r="D16" s="210">
        <v>14479.5</v>
      </c>
      <c r="E16" s="211">
        <v>9122.4</v>
      </c>
      <c r="F16" s="211">
        <v>6799.1000000000013</v>
      </c>
      <c r="G16" s="211">
        <v>5633.4</v>
      </c>
      <c r="H16" s="211">
        <v>13461.4</v>
      </c>
      <c r="I16" s="211">
        <v>11943.011</v>
      </c>
      <c r="J16" s="211">
        <v>9066.39</v>
      </c>
      <c r="K16" s="211">
        <v>14942.161</v>
      </c>
      <c r="L16" s="211">
        <v>31026.863000000001</v>
      </c>
      <c r="M16" s="211">
        <v>29372.448</v>
      </c>
      <c r="N16" s="404">
        <v>17665.719000000001</v>
      </c>
      <c r="Q16" s="276" t="s">
        <v>411</v>
      </c>
      <c r="R16" s="277"/>
      <c r="S16" s="277"/>
      <c r="T16" s="277"/>
      <c r="U16" s="277"/>
      <c r="V16" s="278">
        <v>53872</v>
      </c>
      <c r="W16" s="278">
        <v>69888</v>
      </c>
      <c r="X16" s="278">
        <v>52224</v>
      </c>
      <c r="Y16" s="278">
        <v>35040</v>
      </c>
      <c r="Z16" s="278">
        <v>70080</v>
      </c>
      <c r="AA16" s="224"/>
      <c r="AB16" s="225"/>
    </row>
    <row r="17" spans="2:22" x14ac:dyDescent="0.3">
      <c r="B17" s="209" t="s">
        <v>352</v>
      </c>
      <c r="C17" s="318" t="s">
        <v>352</v>
      </c>
      <c r="D17" s="210"/>
      <c r="E17" s="211"/>
      <c r="F17" s="211">
        <v>7669.3</v>
      </c>
      <c r="G17" s="211">
        <v>5011.87</v>
      </c>
      <c r="H17" s="211">
        <v>14595.828</v>
      </c>
      <c r="I17" s="211">
        <v>12810</v>
      </c>
      <c r="J17" s="211">
        <v>9098</v>
      </c>
      <c r="K17" s="211">
        <v>13530</v>
      </c>
      <c r="L17" s="211">
        <v>15895</v>
      </c>
      <c r="M17" s="211">
        <v>11296</v>
      </c>
      <c r="N17" s="404">
        <v>6257.6</v>
      </c>
      <c r="Q17" s="227"/>
      <c r="R17" s="228"/>
      <c r="S17" s="228"/>
      <c r="T17" s="228"/>
      <c r="U17" s="228"/>
      <c r="V17" s="228"/>
    </row>
    <row r="18" spans="2:22" x14ac:dyDescent="0.3">
      <c r="B18" s="209" t="s">
        <v>355</v>
      </c>
      <c r="C18" s="318" t="s">
        <v>355</v>
      </c>
      <c r="D18" s="210"/>
      <c r="E18" s="211"/>
      <c r="F18" s="211">
        <v>26812.799999999999</v>
      </c>
      <c r="G18" s="211">
        <v>28012.2</v>
      </c>
      <c r="H18" s="211">
        <v>22551.8</v>
      </c>
      <c r="I18" s="211">
        <v>22090.9</v>
      </c>
      <c r="J18" s="211">
        <v>24432.6</v>
      </c>
      <c r="K18" s="211">
        <v>26001.200000000001</v>
      </c>
      <c r="L18" s="211">
        <v>26513.100000000002</v>
      </c>
      <c r="M18" s="211">
        <v>20597.599999999999</v>
      </c>
      <c r="N18" s="404">
        <v>29475</v>
      </c>
    </row>
    <row r="19" spans="2:22" x14ac:dyDescent="0.3">
      <c r="B19" s="209" t="s">
        <v>356</v>
      </c>
      <c r="C19" s="318" t="s">
        <v>356</v>
      </c>
      <c r="D19" s="210"/>
      <c r="E19" s="211"/>
      <c r="F19" s="211">
        <v>5538.6140000000005</v>
      </c>
      <c r="G19" s="211">
        <v>2586.7449999999999</v>
      </c>
      <c r="H19" s="211">
        <v>7656.2309999999998</v>
      </c>
      <c r="I19" s="211">
        <v>7909.8760000000002</v>
      </c>
      <c r="J19" s="211">
        <v>6382.56</v>
      </c>
      <c r="K19" s="211">
        <v>11613.913</v>
      </c>
      <c r="L19" s="211">
        <v>16380.82</v>
      </c>
      <c r="M19" s="211">
        <v>12715.846</v>
      </c>
      <c r="N19" s="404">
        <v>4522.0940000000001</v>
      </c>
    </row>
    <row r="20" spans="2:22" x14ac:dyDescent="0.3">
      <c r="B20" s="209" t="s">
        <v>357</v>
      </c>
      <c r="C20" s="318" t="s">
        <v>357</v>
      </c>
      <c r="D20" s="210"/>
      <c r="E20" s="211"/>
      <c r="F20" s="211">
        <v>96088.721000000005</v>
      </c>
      <c r="G20" s="211">
        <v>93917</v>
      </c>
      <c r="H20" s="211">
        <v>93870.095000000001</v>
      </c>
      <c r="I20" s="211">
        <v>70895</v>
      </c>
      <c r="J20" s="211">
        <v>83382.25</v>
      </c>
      <c r="K20" s="211">
        <v>81535</v>
      </c>
      <c r="L20" s="211">
        <v>87999</v>
      </c>
      <c r="M20" s="211">
        <v>84421</v>
      </c>
      <c r="N20" s="404">
        <v>108928</v>
      </c>
    </row>
    <row r="21" spans="2:22" hidden="1" outlineLevel="1" x14ac:dyDescent="0.3">
      <c r="B21" s="209" t="s">
        <v>358</v>
      </c>
      <c r="C21" s="318" t="s">
        <v>358</v>
      </c>
      <c r="D21" s="216">
        <v>417.88</v>
      </c>
      <c r="E21" s="217">
        <v>245.36000000000004</v>
      </c>
      <c r="F21" s="217">
        <v>110.05</v>
      </c>
      <c r="G21" s="217">
        <v>19.275000000000301</v>
      </c>
      <c r="H21" s="217">
        <v>440.28</v>
      </c>
      <c r="I21" s="217">
        <v>819.06</v>
      </c>
      <c r="J21" s="217">
        <v>548.41999999999996</v>
      </c>
      <c r="K21" s="217">
        <v>327.3</v>
      </c>
      <c r="L21" s="217">
        <v>0</v>
      </c>
      <c r="M21" s="217">
        <v>0</v>
      </c>
      <c r="N21" s="405">
        <v>0</v>
      </c>
    </row>
    <row r="22" spans="2:22" collapsed="1" x14ac:dyDescent="0.3">
      <c r="B22" s="209" t="s">
        <v>364</v>
      </c>
      <c r="C22" s="318" t="s">
        <v>364</v>
      </c>
      <c r="D22" s="216"/>
      <c r="E22" s="217"/>
      <c r="F22" s="217"/>
      <c r="G22" s="217"/>
      <c r="H22" s="217"/>
      <c r="I22" s="217">
        <v>1892.92</v>
      </c>
      <c r="J22" s="217">
        <v>4769.28</v>
      </c>
      <c r="K22" s="217">
        <v>3657.6019999999999</v>
      </c>
      <c r="L22" s="217">
        <v>4253.1960000000008</v>
      </c>
      <c r="M22" s="217">
        <v>3908.319</v>
      </c>
      <c r="N22" s="405">
        <v>4119.915</v>
      </c>
    </row>
    <row r="23" spans="2:22" x14ac:dyDescent="0.3">
      <c r="B23" s="209" t="s">
        <v>363</v>
      </c>
      <c r="C23" s="318" t="s">
        <v>363</v>
      </c>
      <c r="D23" s="216"/>
      <c r="E23" s="217"/>
      <c r="F23" s="217"/>
      <c r="G23" s="217"/>
      <c r="H23" s="217">
        <f>5234-1472</f>
        <v>3762</v>
      </c>
      <c r="I23" s="217">
        <v>3201.7330000000002</v>
      </c>
      <c r="J23" s="217">
        <v>4347.1400000000003</v>
      </c>
      <c r="K23" s="217">
        <v>3882.5160000000001</v>
      </c>
      <c r="L23" s="217">
        <v>4582.9590000000007</v>
      </c>
      <c r="M23" s="217">
        <v>4686.0739999999996</v>
      </c>
      <c r="N23" s="405">
        <v>4619.9449999999997</v>
      </c>
    </row>
    <row r="24" spans="2:22" x14ac:dyDescent="0.3">
      <c r="B24" s="209" t="s">
        <v>365</v>
      </c>
      <c r="C24" s="318" t="s">
        <v>365</v>
      </c>
      <c r="D24" s="216"/>
      <c r="E24" s="217"/>
      <c r="F24" s="217"/>
      <c r="G24" s="217"/>
      <c r="H24" s="217"/>
      <c r="I24" s="217">
        <f>10881/(3.6)</f>
        <v>3022.5</v>
      </c>
      <c r="J24" s="217">
        <v>4628.9399999999996</v>
      </c>
      <c r="K24" s="217">
        <v>3958.991</v>
      </c>
      <c r="L24" s="217">
        <v>4592.9069999999992</v>
      </c>
      <c r="M24" s="217">
        <v>4331.2020000000002</v>
      </c>
      <c r="N24" s="405">
        <v>4119.8850000000002</v>
      </c>
    </row>
    <row r="25" spans="2:22" x14ac:dyDescent="0.3">
      <c r="B25" s="209" t="s">
        <v>369</v>
      </c>
      <c r="C25" s="318"/>
      <c r="D25" s="216"/>
      <c r="E25" s="217"/>
      <c r="F25" s="217"/>
      <c r="G25" s="217"/>
      <c r="H25" s="217"/>
      <c r="I25" s="217"/>
      <c r="J25" s="217"/>
      <c r="K25" s="217"/>
      <c r="L25" s="217"/>
      <c r="M25" s="217">
        <v>966</v>
      </c>
      <c r="N25" s="405">
        <v>2692.7339999999999</v>
      </c>
    </row>
    <row r="26" spans="2:22" x14ac:dyDescent="0.3">
      <c r="B26" s="209" t="s">
        <v>412</v>
      </c>
      <c r="C26" s="318"/>
      <c r="D26" s="216"/>
      <c r="E26" s="217"/>
      <c r="F26" s="217"/>
      <c r="G26" s="217"/>
      <c r="H26" s="217"/>
      <c r="I26" s="217"/>
      <c r="J26" s="217"/>
      <c r="K26" s="217"/>
      <c r="L26" s="217"/>
      <c r="M26" s="217">
        <v>55345.709000000003</v>
      </c>
      <c r="N26" s="405">
        <v>55567.023999999998</v>
      </c>
    </row>
    <row r="27" spans="2:22" x14ac:dyDescent="0.3">
      <c r="B27" s="209" t="s">
        <v>377</v>
      </c>
      <c r="C27" s="318" t="s">
        <v>377</v>
      </c>
      <c r="D27" s="216"/>
      <c r="E27" s="217"/>
      <c r="F27" s="217"/>
      <c r="G27" s="217"/>
      <c r="H27" s="217"/>
      <c r="I27" s="217"/>
      <c r="J27" s="217">
        <v>1759.09</v>
      </c>
      <c r="K27" s="217">
        <v>1081.7829999999999</v>
      </c>
      <c r="L27" s="217">
        <v>0</v>
      </c>
      <c r="M27" s="217"/>
      <c r="N27" s="405"/>
    </row>
    <row r="28" spans="2:22" ht="15" thickBot="1" x14ac:dyDescent="0.35">
      <c r="B28" s="319" t="s">
        <v>506</v>
      </c>
      <c r="C28" s="315"/>
      <c r="D28" s="216"/>
      <c r="E28" s="217"/>
      <c r="F28" s="217"/>
      <c r="G28" s="217"/>
      <c r="H28" s="217"/>
      <c r="I28" s="217"/>
      <c r="J28" s="217"/>
      <c r="K28" s="217"/>
      <c r="L28" s="217">
        <v>1600.13</v>
      </c>
      <c r="M28" s="217">
        <v>3870.9070000000002</v>
      </c>
      <c r="N28" s="405">
        <v>4614</v>
      </c>
    </row>
    <row r="29" spans="2:22" ht="15" thickBot="1" x14ac:dyDescent="0.35">
      <c r="B29" s="218" t="s">
        <v>353</v>
      </c>
      <c r="C29" s="218" t="s">
        <v>354</v>
      </c>
      <c r="D29" s="219">
        <f t="shared" ref="D29:K29" si="8">SUM(D15:D27)</f>
        <v>27961.509000000002</v>
      </c>
      <c r="E29" s="220">
        <f t="shared" si="8"/>
        <v>17635.012000000002</v>
      </c>
      <c r="F29" s="220">
        <f t="shared" si="8"/>
        <v>143724.31400000001</v>
      </c>
      <c r="G29" s="220">
        <f t="shared" si="8"/>
        <v>135594.80825</v>
      </c>
      <c r="H29" s="220">
        <f t="shared" si="8"/>
        <v>158340.93899999998</v>
      </c>
      <c r="I29" s="220">
        <f t="shared" si="8"/>
        <v>135809.77499999999</v>
      </c>
      <c r="J29" s="220">
        <f t="shared" si="8"/>
        <v>149482.23000000001</v>
      </c>
      <c r="K29" s="220">
        <f t="shared" si="8"/>
        <v>162907.59300000002</v>
      </c>
      <c r="L29" s="220">
        <f>SUM(L15:L28)</f>
        <v>198339.47983000003</v>
      </c>
      <c r="M29" s="220">
        <f>SUM(M15:M28)</f>
        <v>233426.49699999997</v>
      </c>
      <c r="N29" s="406">
        <f>SUM(N15:N28)</f>
        <v>244920.18000000002</v>
      </c>
    </row>
    <row r="30" spans="2:22" ht="15" thickBot="1" x14ac:dyDescent="0.35"/>
    <row r="31" spans="2:22" ht="15" thickBot="1" x14ac:dyDescent="0.35">
      <c r="B31" s="221" t="s">
        <v>366</v>
      </c>
      <c r="C31" s="221" t="s">
        <v>367</v>
      </c>
      <c r="D31" s="203">
        <v>2013</v>
      </c>
      <c r="E31" s="203">
        <f>+D31+1</f>
        <v>2014</v>
      </c>
      <c r="F31" s="203">
        <f t="shared" ref="F31:N31" si="9">+E31+1</f>
        <v>2015</v>
      </c>
      <c r="G31" s="203">
        <f t="shared" si="9"/>
        <v>2016</v>
      </c>
      <c r="H31" s="203">
        <f t="shared" si="9"/>
        <v>2017</v>
      </c>
      <c r="I31" s="203">
        <f t="shared" si="9"/>
        <v>2018</v>
      </c>
      <c r="J31" s="203">
        <f t="shared" si="9"/>
        <v>2019</v>
      </c>
      <c r="K31" s="314">
        <f t="shared" si="9"/>
        <v>2020</v>
      </c>
      <c r="L31" s="314">
        <f t="shared" si="9"/>
        <v>2021</v>
      </c>
      <c r="M31" s="314">
        <f t="shared" si="9"/>
        <v>2022</v>
      </c>
      <c r="N31" s="402">
        <f t="shared" si="9"/>
        <v>2023</v>
      </c>
    </row>
    <row r="32" spans="2:22" x14ac:dyDescent="0.3">
      <c r="B32" s="206" t="s">
        <v>346</v>
      </c>
      <c r="C32" s="206" t="s">
        <v>346</v>
      </c>
      <c r="D32" s="207">
        <v>290702.81</v>
      </c>
      <c r="E32" s="208">
        <v>227788</v>
      </c>
      <c r="F32" s="208">
        <v>130629</v>
      </c>
      <c r="G32" s="208">
        <v>37280.5</v>
      </c>
      <c r="H32" s="208">
        <v>27816</v>
      </c>
      <c r="I32" s="208">
        <v>27606.7</v>
      </c>
      <c r="J32" s="208">
        <v>27923.7</v>
      </c>
      <c r="K32" s="208">
        <v>28673.4</v>
      </c>
      <c r="L32" s="208">
        <v>33724.299999999996</v>
      </c>
      <c r="M32" s="208">
        <v>26017</v>
      </c>
      <c r="N32" s="403">
        <v>22543</v>
      </c>
    </row>
    <row r="33" spans="2:14" x14ac:dyDescent="0.3">
      <c r="B33" s="209" t="s">
        <v>349</v>
      </c>
      <c r="C33" s="209" t="s">
        <v>349</v>
      </c>
      <c r="D33" s="210">
        <v>169219</v>
      </c>
      <c r="E33" s="211">
        <v>150929</v>
      </c>
      <c r="F33" s="211">
        <v>147050</v>
      </c>
      <c r="G33" s="211">
        <v>184577</v>
      </c>
      <c r="H33" s="211">
        <v>223406.5</v>
      </c>
      <c r="I33" s="211">
        <v>213003</v>
      </c>
      <c r="J33" s="211">
        <v>219231</v>
      </c>
      <c r="K33" s="211">
        <v>262146</v>
      </c>
      <c r="L33" s="211">
        <v>264355</v>
      </c>
      <c r="M33" s="211">
        <v>246801</v>
      </c>
      <c r="N33" s="404">
        <v>230117</v>
      </c>
    </row>
    <row r="34" spans="2:14" x14ac:dyDescent="0.3">
      <c r="B34" s="209" t="s">
        <v>352</v>
      </c>
      <c r="C34" s="209" t="s">
        <v>352</v>
      </c>
      <c r="D34" s="210"/>
      <c r="E34" s="211"/>
      <c r="F34" s="211">
        <v>398032</v>
      </c>
      <c r="G34" s="211">
        <v>416031</v>
      </c>
      <c r="H34" s="211">
        <v>442352</v>
      </c>
      <c r="I34" s="211">
        <v>400779</v>
      </c>
      <c r="J34" s="211">
        <v>411242</v>
      </c>
      <c r="K34" s="211">
        <v>365819</v>
      </c>
      <c r="L34" s="211">
        <v>446098.92999999993</v>
      </c>
      <c r="M34" s="211">
        <v>402924</v>
      </c>
      <c r="N34" s="404">
        <v>366992</v>
      </c>
    </row>
    <row r="35" spans="2:14" x14ac:dyDescent="0.3">
      <c r="B35" s="209" t="s">
        <v>355</v>
      </c>
      <c r="C35" s="209" t="s">
        <v>355</v>
      </c>
      <c r="D35" s="210"/>
      <c r="E35" s="211"/>
      <c r="F35" s="211">
        <v>95932</v>
      </c>
      <c r="G35" s="211">
        <v>102667</v>
      </c>
      <c r="H35" s="211">
        <v>83486</v>
      </c>
      <c r="I35" s="211">
        <v>85752</v>
      </c>
      <c r="J35" s="211">
        <v>88644</v>
      </c>
      <c r="K35" s="211">
        <v>92203</v>
      </c>
      <c r="L35" s="211">
        <v>95250</v>
      </c>
      <c r="M35" s="211">
        <v>78133</v>
      </c>
      <c r="N35" s="404">
        <v>108212</v>
      </c>
    </row>
    <row r="36" spans="2:14" x14ac:dyDescent="0.3">
      <c r="B36" s="209" t="s">
        <v>356</v>
      </c>
      <c r="C36" s="209" t="s">
        <v>356</v>
      </c>
      <c r="D36" s="210"/>
      <c r="E36" s="211"/>
      <c r="F36" s="211">
        <v>264005</v>
      </c>
      <c r="G36" s="211">
        <v>276030.3</v>
      </c>
      <c r="H36" s="211">
        <v>291914.30000000016</v>
      </c>
      <c r="I36" s="211">
        <v>258327</v>
      </c>
      <c r="J36" s="211">
        <v>251194</v>
      </c>
      <c r="K36" s="211">
        <v>246500</v>
      </c>
      <c r="L36" s="211">
        <v>265844.55599999998</v>
      </c>
      <c r="M36" s="211">
        <v>241902</v>
      </c>
      <c r="N36" s="404">
        <v>215729</v>
      </c>
    </row>
    <row r="37" spans="2:14" x14ac:dyDescent="0.3">
      <c r="B37" s="209" t="s">
        <v>357</v>
      </c>
      <c r="C37" s="209" t="s">
        <v>357</v>
      </c>
      <c r="D37" s="210"/>
      <c r="E37" s="211"/>
      <c r="F37" s="211">
        <v>328198.63199999998</v>
      </c>
      <c r="G37" s="211">
        <v>315849.28000000003</v>
      </c>
      <c r="H37" s="211">
        <v>309596</v>
      </c>
      <c r="I37" s="211">
        <v>245518.51</v>
      </c>
      <c r="J37" s="211">
        <v>290217</v>
      </c>
      <c r="K37" s="211">
        <v>278053</v>
      </c>
      <c r="L37" s="211">
        <v>296330.20499999996</v>
      </c>
      <c r="M37" s="211">
        <v>287807</v>
      </c>
      <c r="N37" s="404">
        <v>351336</v>
      </c>
    </row>
    <row r="38" spans="2:14" ht="15" thickBot="1" x14ac:dyDescent="0.35">
      <c r="B38" s="215" t="s">
        <v>358</v>
      </c>
      <c r="C38" s="215" t="s">
        <v>358</v>
      </c>
      <c r="D38" s="216">
        <v>1597.48</v>
      </c>
      <c r="E38" s="217">
        <v>858.86</v>
      </c>
      <c r="F38" s="217">
        <v>516.74</v>
      </c>
      <c r="G38" s="217">
        <v>64.409999999999854</v>
      </c>
      <c r="H38" s="217">
        <v>1454.6000000000006</v>
      </c>
      <c r="I38" s="217">
        <v>2521.9650000000001</v>
      </c>
      <c r="J38" s="217">
        <v>2012</v>
      </c>
      <c r="K38" s="217">
        <v>0</v>
      </c>
      <c r="L38" s="217">
        <v>0</v>
      </c>
      <c r="M38" s="217">
        <v>0</v>
      </c>
      <c r="N38" s="405">
        <v>0</v>
      </c>
    </row>
    <row r="39" spans="2:14" ht="15" thickBot="1" x14ac:dyDescent="0.35">
      <c r="B39" s="218" t="s">
        <v>353</v>
      </c>
      <c r="C39" s="218" t="s">
        <v>354</v>
      </c>
      <c r="D39" s="219">
        <f>SUM(D32:D38)</f>
        <v>461519.29</v>
      </c>
      <c r="E39" s="220">
        <f t="shared" ref="E39:J39" si="10">SUM(E32:E38)</f>
        <v>379575.86</v>
      </c>
      <c r="F39" s="220">
        <f t="shared" si="10"/>
        <v>1364363.372</v>
      </c>
      <c r="G39" s="220">
        <f t="shared" si="10"/>
        <v>1332499.49</v>
      </c>
      <c r="H39" s="220">
        <f t="shared" si="10"/>
        <v>1380025.4000000004</v>
      </c>
      <c r="I39" s="220">
        <f t="shared" si="10"/>
        <v>1233508.175</v>
      </c>
      <c r="J39" s="220">
        <f t="shared" si="10"/>
        <v>1290463.7</v>
      </c>
      <c r="K39" s="220">
        <f>SUM(K32:K38)</f>
        <v>1273394.3999999999</v>
      </c>
      <c r="L39" s="220">
        <f>SUM(L32:L38)</f>
        <v>1401602.9909999999</v>
      </c>
      <c r="M39" s="220">
        <f>SUM(M32:M38)</f>
        <v>1283584</v>
      </c>
      <c r="N39" s="406">
        <f>SUM(N32:N38)</f>
        <v>1294929</v>
      </c>
    </row>
    <row r="40" spans="2:14" ht="15" thickBot="1" x14ac:dyDescent="0.35">
      <c r="M40"/>
    </row>
    <row r="41" spans="2:14" ht="15" thickBot="1" x14ac:dyDescent="0.35">
      <c r="B41" s="221" t="s">
        <v>368</v>
      </c>
      <c r="C41" s="221" t="s">
        <v>360</v>
      </c>
      <c r="D41" s="203">
        <v>2013</v>
      </c>
      <c r="E41" s="203">
        <f>+D41+1</f>
        <v>2014</v>
      </c>
      <c r="F41" s="203">
        <f t="shared" ref="F41:L41" si="11">+E41+1</f>
        <v>2015</v>
      </c>
      <c r="G41" s="203">
        <f t="shared" si="11"/>
        <v>2016</v>
      </c>
      <c r="H41" s="203">
        <f t="shared" si="11"/>
        <v>2017</v>
      </c>
      <c r="I41" s="203">
        <f t="shared" si="11"/>
        <v>2018</v>
      </c>
      <c r="J41" s="203">
        <f t="shared" si="11"/>
        <v>2019</v>
      </c>
      <c r="K41" s="314">
        <f t="shared" si="11"/>
        <v>2020</v>
      </c>
      <c r="L41" s="314">
        <f t="shared" si="11"/>
        <v>2021</v>
      </c>
      <c r="M41" s="314">
        <f t="shared" ref="M41" si="12">+L41+1</f>
        <v>2022</v>
      </c>
      <c r="N41" s="402">
        <f t="shared" ref="N41" si="13">+M41+1</f>
        <v>2023</v>
      </c>
    </row>
    <row r="42" spans="2:14" x14ac:dyDescent="0.3">
      <c r="B42" s="222" t="s">
        <v>364</v>
      </c>
      <c r="C42" s="222" t="s">
        <v>364</v>
      </c>
      <c r="D42" s="237">
        <v>4617.8999999999996</v>
      </c>
      <c r="E42" s="238">
        <v>4353.5079999999998</v>
      </c>
      <c r="F42" s="238">
        <v>4684.277</v>
      </c>
      <c r="G42" s="238">
        <v>4616.6859999999997</v>
      </c>
      <c r="H42" s="238">
        <v>5002.4189999999999</v>
      </c>
      <c r="I42" s="238">
        <v>1557</v>
      </c>
      <c r="J42" s="238">
        <v>0</v>
      </c>
      <c r="K42" s="238">
        <v>0</v>
      </c>
      <c r="L42" s="238">
        <v>0</v>
      </c>
      <c r="M42" s="238">
        <v>0</v>
      </c>
      <c r="N42" s="407">
        <v>0</v>
      </c>
    </row>
    <row r="43" spans="2:14" x14ac:dyDescent="0.3">
      <c r="B43" s="209" t="s">
        <v>363</v>
      </c>
      <c r="C43" s="209" t="s">
        <v>363</v>
      </c>
      <c r="D43" s="210">
        <v>5709.7179999999998</v>
      </c>
      <c r="E43" s="211">
        <v>5269.5360000000001</v>
      </c>
      <c r="F43" s="211">
        <v>5590.1059999999998</v>
      </c>
      <c r="G43" s="211">
        <v>5355.4750000000004</v>
      </c>
      <c r="H43" s="211">
        <v>1472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404">
        <v>0</v>
      </c>
    </row>
    <row r="44" spans="2:14" x14ac:dyDescent="0.3">
      <c r="B44" s="209" t="s">
        <v>365</v>
      </c>
      <c r="C44" s="209" t="s">
        <v>365</v>
      </c>
      <c r="D44" s="210">
        <v>5019.6297930000001</v>
      </c>
      <c r="E44" s="211">
        <v>5045.6790000000001</v>
      </c>
      <c r="F44" s="211">
        <v>5032.7039999999997</v>
      </c>
      <c r="G44" s="211">
        <v>5052.1930000000002</v>
      </c>
      <c r="H44" s="211">
        <v>5228.8109999999997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404">
        <v>0</v>
      </c>
    </row>
    <row r="45" spans="2:14" x14ac:dyDescent="0.3">
      <c r="B45" s="209" t="s">
        <v>369</v>
      </c>
      <c r="C45" s="209" t="s">
        <v>369</v>
      </c>
      <c r="D45" s="210">
        <v>2634.049</v>
      </c>
      <c r="E45" s="211">
        <v>2839.1370000000002</v>
      </c>
      <c r="F45" s="211">
        <v>3245.422</v>
      </c>
      <c r="G45" s="211">
        <v>3310.5720000000001</v>
      </c>
      <c r="H45" s="211">
        <v>2709.32</v>
      </c>
      <c r="I45" s="211">
        <v>1853.383</v>
      </c>
      <c r="J45" s="211">
        <v>1663.06</v>
      </c>
      <c r="K45" s="211">
        <v>247.32</v>
      </c>
      <c r="L45" s="211">
        <v>1850.3045</v>
      </c>
      <c r="M45" s="211">
        <v>589</v>
      </c>
      <c r="N45" s="404">
        <v>0</v>
      </c>
    </row>
    <row r="46" spans="2:14" x14ac:dyDescent="0.3">
      <c r="B46" s="209" t="s">
        <v>412</v>
      </c>
      <c r="C46" s="209"/>
      <c r="D46" s="210"/>
      <c r="E46" s="211"/>
      <c r="F46" s="211"/>
      <c r="G46" s="211"/>
      <c r="H46" s="211"/>
      <c r="I46" s="211"/>
      <c r="J46" s="211">
        <v>37575.68</v>
      </c>
      <c r="K46" s="211">
        <v>53918.726999999999</v>
      </c>
      <c r="L46" s="211">
        <v>58785.404999999999</v>
      </c>
      <c r="M46" s="211">
        <v>32661</v>
      </c>
      <c r="N46" s="404">
        <v>0</v>
      </c>
    </row>
    <row r="47" spans="2:14" x14ac:dyDescent="0.3">
      <c r="B47" s="209" t="s">
        <v>413</v>
      </c>
      <c r="C47" s="209"/>
      <c r="D47" s="210"/>
      <c r="E47" s="211"/>
      <c r="F47" s="211"/>
      <c r="G47" s="211"/>
      <c r="H47" s="211"/>
      <c r="I47" s="211"/>
      <c r="J47" s="211"/>
      <c r="K47" s="211">
        <v>7011.4</v>
      </c>
      <c r="L47" s="211">
        <v>28251.642</v>
      </c>
      <c r="M47" s="211">
        <v>25990</v>
      </c>
      <c r="N47" s="404">
        <v>24900.422999999999</v>
      </c>
    </row>
    <row r="48" spans="2:14" x14ac:dyDescent="0.3">
      <c r="B48" s="209" t="s">
        <v>370</v>
      </c>
      <c r="C48" s="209" t="s">
        <v>370</v>
      </c>
      <c r="D48" s="210">
        <v>4558.9009999999998</v>
      </c>
      <c r="E48" s="211">
        <v>4048.6118287499999</v>
      </c>
      <c r="F48" s="211">
        <v>3464.99</v>
      </c>
      <c r="G48" s="211">
        <v>3205.46</v>
      </c>
      <c r="H48" s="211">
        <v>2236.4459999999999</v>
      </c>
      <c r="I48" s="211">
        <v>3188.8270000000002</v>
      </c>
      <c r="J48" s="211">
        <v>2579.79</v>
      </c>
      <c r="K48" s="211">
        <v>0</v>
      </c>
      <c r="L48" s="211">
        <v>0</v>
      </c>
      <c r="M48" s="211">
        <v>0</v>
      </c>
      <c r="N48" s="404">
        <v>0</v>
      </c>
    </row>
    <row r="49" spans="2:16" x14ac:dyDescent="0.3">
      <c r="B49" s="209" t="s">
        <v>371</v>
      </c>
      <c r="C49" s="209" t="s">
        <v>371</v>
      </c>
      <c r="D49" s="210"/>
      <c r="E49" s="211"/>
      <c r="F49" s="211"/>
      <c r="G49" s="211"/>
      <c r="H49" s="211">
        <v>1224.799</v>
      </c>
      <c r="I49" s="211">
        <v>2647.848</v>
      </c>
      <c r="J49" s="211">
        <v>1017.87</v>
      </c>
      <c r="K49" s="211">
        <v>3477.7</v>
      </c>
      <c r="L49" s="211">
        <v>2917.94</v>
      </c>
      <c r="M49" s="211">
        <v>144</v>
      </c>
      <c r="N49" s="404">
        <v>0</v>
      </c>
      <c r="P49" s="43"/>
    </row>
    <row r="50" spans="2:16" hidden="1" outlineLevel="1" x14ac:dyDescent="0.3">
      <c r="B50" s="209" t="s">
        <v>372</v>
      </c>
      <c r="C50" s="209" t="s">
        <v>372</v>
      </c>
      <c r="D50" s="210">
        <v>1135.662</v>
      </c>
      <c r="E50" s="211">
        <v>1048.71</v>
      </c>
      <c r="F50" s="211">
        <v>902.10900000000004</v>
      </c>
      <c r="G50" s="211">
        <v>712.56899999999996</v>
      </c>
      <c r="H50" s="211">
        <v>670.67200000000003</v>
      </c>
      <c r="I50" s="211">
        <v>816.58600000000001</v>
      </c>
      <c r="J50" s="211">
        <v>421.13600000000002</v>
      </c>
      <c r="K50" s="211">
        <v>0</v>
      </c>
      <c r="L50" s="211">
        <v>0</v>
      </c>
      <c r="M50" s="211">
        <v>0</v>
      </c>
      <c r="N50" s="404">
        <v>0</v>
      </c>
    </row>
    <row r="51" spans="2:16" hidden="1" outlineLevel="1" x14ac:dyDescent="0.3">
      <c r="B51" s="209" t="s">
        <v>373</v>
      </c>
      <c r="C51" s="209" t="s">
        <v>373</v>
      </c>
      <c r="D51" s="210">
        <v>2637.5347879999999</v>
      </c>
      <c r="E51" s="211">
        <v>2429.3680445999998</v>
      </c>
      <c r="F51" s="211">
        <v>1874.4763249999999</v>
      </c>
      <c r="G51" s="211">
        <v>1490.8600749999998</v>
      </c>
      <c r="H51" s="211">
        <v>994.73</v>
      </c>
      <c r="I51" s="211">
        <v>408.49</v>
      </c>
      <c r="J51" s="211">
        <v>0</v>
      </c>
      <c r="K51" s="211">
        <v>0</v>
      </c>
      <c r="L51" s="211">
        <v>0</v>
      </c>
      <c r="M51" s="211">
        <v>0</v>
      </c>
      <c r="N51" s="404">
        <v>0</v>
      </c>
    </row>
    <row r="52" spans="2:16" collapsed="1" x14ac:dyDescent="0.3">
      <c r="B52" s="209" t="s">
        <v>374</v>
      </c>
      <c r="C52" s="209" t="s">
        <v>375</v>
      </c>
      <c r="D52" s="210"/>
      <c r="E52" s="211"/>
      <c r="F52" s="211"/>
      <c r="G52" s="211">
        <v>0</v>
      </c>
      <c r="H52" s="211">
        <v>0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404">
        <v>0</v>
      </c>
    </row>
    <row r="53" spans="2:16" x14ac:dyDescent="0.3">
      <c r="B53" s="209" t="s">
        <v>376</v>
      </c>
      <c r="C53" s="209" t="s">
        <v>376</v>
      </c>
      <c r="D53" s="210"/>
      <c r="E53" s="211"/>
      <c r="F53" s="211">
        <v>4393.5739999999996</v>
      </c>
      <c r="G53" s="211">
        <v>5294.9539999999997</v>
      </c>
      <c r="H53" s="211">
        <v>4953.25</v>
      </c>
      <c r="I53" s="211">
        <v>4482.0439999999999</v>
      </c>
      <c r="J53" s="211">
        <v>4355.6002500000004</v>
      </c>
      <c r="K53" s="211">
        <v>5314.29</v>
      </c>
      <c r="L53" s="211">
        <v>4916.6847500000003</v>
      </c>
      <c r="M53" s="211">
        <v>1997</v>
      </c>
      <c r="N53" s="404">
        <v>5546.9359999999997</v>
      </c>
    </row>
    <row r="54" spans="2:16" x14ac:dyDescent="0.3">
      <c r="B54" s="209" t="s">
        <v>377</v>
      </c>
      <c r="C54" s="209" t="s">
        <v>377</v>
      </c>
      <c r="D54" s="210"/>
      <c r="E54" s="211"/>
      <c r="F54" s="211">
        <v>3274.5059999999999</v>
      </c>
      <c r="G54" s="211">
        <v>2482.5410000000002</v>
      </c>
      <c r="H54" s="211">
        <v>3632.91</v>
      </c>
      <c r="I54" s="211">
        <v>3253.8150000000001</v>
      </c>
      <c r="J54" s="211">
        <v>0</v>
      </c>
      <c r="K54" s="211">
        <v>0</v>
      </c>
      <c r="L54" s="211">
        <v>6140.8289999999997</v>
      </c>
      <c r="M54" s="211">
        <v>4199</v>
      </c>
      <c r="N54" s="404">
        <v>6819.4290000000001</v>
      </c>
    </row>
    <row r="55" spans="2:16" x14ac:dyDescent="0.3">
      <c r="B55" s="209" t="s">
        <v>378</v>
      </c>
      <c r="C55" s="209" t="s">
        <v>378</v>
      </c>
      <c r="D55" s="210"/>
      <c r="E55" s="211"/>
      <c r="F55" s="211"/>
      <c r="G55" s="211"/>
      <c r="H55" s="211"/>
      <c r="I55" s="211">
        <v>2758</v>
      </c>
      <c r="J55" s="211">
        <v>2765.25</v>
      </c>
      <c r="K55" s="211">
        <v>2870.989</v>
      </c>
      <c r="L55" s="211">
        <v>3012.8649999999998</v>
      </c>
      <c r="M55" s="211">
        <v>3070.59</v>
      </c>
      <c r="N55" s="404">
        <v>2870.5729999999999</v>
      </c>
    </row>
    <row r="56" spans="2:16" x14ac:dyDescent="0.3">
      <c r="B56" s="209" t="s">
        <v>379</v>
      </c>
      <c r="C56" s="209" t="s">
        <v>379</v>
      </c>
      <c r="D56" s="210"/>
      <c r="E56" s="211"/>
      <c r="F56" s="211"/>
      <c r="G56" s="211"/>
      <c r="H56" s="211"/>
      <c r="I56" s="211">
        <v>146.03</v>
      </c>
      <c r="J56" s="211">
        <v>6449.22</v>
      </c>
      <c r="K56" s="211">
        <v>6309.9489999999996</v>
      </c>
      <c r="L56" s="211">
        <v>6472.1545454545403</v>
      </c>
      <c r="M56" s="211">
        <v>6302.4009999999998</v>
      </c>
      <c r="N56" s="404">
        <v>5683.39</v>
      </c>
    </row>
    <row r="57" spans="2:16" x14ac:dyDescent="0.3">
      <c r="B57" s="209" t="s">
        <v>401</v>
      </c>
      <c r="C57" s="209" t="s">
        <v>401</v>
      </c>
      <c r="D57" s="210"/>
      <c r="E57" s="211"/>
      <c r="F57" s="211"/>
      <c r="G57" s="211"/>
      <c r="H57" s="211"/>
      <c r="I57" s="211"/>
      <c r="J57" s="211">
        <v>5484.03</v>
      </c>
      <c r="K57" s="211">
        <v>8660.3649999999998</v>
      </c>
      <c r="L57" s="211">
        <v>7880.8080808080804</v>
      </c>
      <c r="M57" s="211">
        <v>9506.5570000000007</v>
      </c>
      <c r="N57" s="404">
        <v>8561.5889999999999</v>
      </c>
    </row>
    <row r="58" spans="2:16" ht="15" thickBot="1" x14ac:dyDescent="0.35">
      <c r="B58" s="215" t="s">
        <v>402</v>
      </c>
      <c r="C58" s="215" t="s">
        <v>403</v>
      </c>
      <c r="D58" s="223"/>
      <c r="E58" s="224"/>
      <c r="F58" s="224"/>
      <c r="G58" s="224"/>
      <c r="H58" s="224"/>
      <c r="I58" s="224"/>
      <c r="J58" s="224">
        <v>6144.62</v>
      </c>
      <c r="K58" s="224">
        <v>12020.335999999999</v>
      </c>
      <c r="L58" s="224">
        <v>12395.097979798</v>
      </c>
      <c r="M58" s="224">
        <v>12436.085999999999</v>
      </c>
      <c r="N58" s="408">
        <v>11308.126</v>
      </c>
    </row>
    <row r="59" spans="2:16" ht="15" thickBot="1" x14ac:dyDescent="0.35">
      <c r="B59" s="218" t="s">
        <v>353</v>
      </c>
      <c r="C59" s="218" t="s">
        <v>354</v>
      </c>
      <c r="D59" s="219">
        <f t="shared" ref="D59:I59" si="14">SUM(D42:D58)</f>
        <v>26313.394581</v>
      </c>
      <c r="E59" s="220">
        <f t="shared" si="14"/>
        <v>25034.549873349999</v>
      </c>
      <c r="F59" s="220">
        <f t="shared" si="14"/>
        <v>32462.164324999998</v>
      </c>
      <c r="G59" s="220">
        <f t="shared" si="14"/>
        <v>31521.310074999998</v>
      </c>
      <c r="H59" s="220">
        <f t="shared" si="14"/>
        <v>28125.356999999996</v>
      </c>
      <c r="I59" s="220">
        <f t="shared" si="14"/>
        <v>21112.022999999997</v>
      </c>
      <c r="J59" s="220">
        <f>SUM(J42:J58)</f>
        <v>68456.256250000006</v>
      </c>
      <c r="K59" s="220">
        <f>SUM(K42:K58)</f>
        <v>99831.075999999986</v>
      </c>
      <c r="L59" s="220">
        <f>SUM(L42:L58)</f>
        <v>132623.73085606063</v>
      </c>
      <c r="M59" s="220">
        <f>SUM(M42:M58)</f>
        <v>96895.633999999991</v>
      </c>
      <c r="N59" s="406">
        <f>SUM(N42:N58)</f>
        <v>65690.466</v>
      </c>
    </row>
    <row r="61" spans="2:16" ht="15" thickBot="1" x14ac:dyDescent="0.35">
      <c r="P61" s="43"/>
    </row>
    <row r="62" spans="2:16" ht="15" thickBot="1" x14ac:dyDescent="0.35">
      <c r="B62" s="221" t="s">
        <v>380</v>
      </c>
      <c r="C62" s="221" t="s">
        <v>381</v>
      </c>
      <c r="D62" s="203">
        <v>2013</v>
      </c>
      <c r="E62" s="203">
        <f>+D62+1</f>
        <v>2014</v>
      </c>
      <c r="F62" s="203">
        <f t="shared" ref="F62:J62" si="15">+E62+1</f>
        <v>2015</v>
      </c>
      <c r="G62" s="203">
        <f t="shared" si="15"/>
        <v>2016</v>
      </c>
      <c r="H62" s="203">
        <f t="shared" si="15"/>
        <v>2017</v>
      </c>
      <c r="I62" s="203">
        <f t="shared" si="15"/>
        <v>2018</v>
      </c>
      <c r="J62" s="203">
        <f t="shared" si="15"/>
        <v>2019</v>
      </c>
      <c r="K62" s="314">
        <v>2020</v>
      </c>
      <c r="L62" s="314">
        <f>+K62+1</f>
        <v>2021</v>
      </c>
      <c r="M62" s="314">
        <f>+L62+1</f>
        <v>2022</v>
      </c>
      <c r="N62" s="402">
        <f>+M62+1</f>
        <v>2023</v>
      </c>
      <c r="P62" s="43"/>
    </row>
    <row r="63" spans="2:16" x14ac:dyDescent="0.3">
      <c r="B63" s="206" t="s">
        <v>382</v>
      </c>
      <c r="C63" s="206" t="s">
        <v>383</v>
      </c>
      <c r="D63" s="229">
        <v>7.1</v>
      </c>
      <c r="E63" s="230">
        <v>7.1</v>
      </c>
      <c r="F63" s="230">
        <v>7.1</v>
      </c>
      <c r="G63" s="230">
        <v>7.1</v>
      </c>
      <c r="H63" s="230">
        <v>7.1</v>
      </c>
      <c r="I63" s="230">
        <v>7.1</v>
      </c>
      <c r="J63" s="230">
        <v>32.1</v>
      </c>
      <c r="K63" s="230">
        <v>47.1</v>
      </c>
      <c r="L63" s="230">
        <v>47.1</v>
      </c>
      <c r="M63" s="230">
        <v>47.5</v>
      </c>
      <c r="N63" s="409">
        <v>47.5</v>
      </c>
    </row>
    <row r="64" spans="2:16" x14ac:dyDescent="0.3">
      <c r="B64" s="209" t="s">
        <v>384</v>
      </c>
      <c r="C64" s="209" t="s">
        <v>385</v>
      </c>
      <c r="D64" s="231">
        <v>1.4</v>
      </c>
      <c r="E64" s="232">
        <v>1.4</v>
      </c>
      <c r="F64" s="232">
        <v>1.4</v>
      </c>
      <c r="G64" s="232">
        <v>1.4</v>
      </c>
      <c r="H64" s="232">
        <v>1.4</v>
      </c>
      <c r="I64" s="232">
        <v>1.4</v>
      </c>
      <c r="J64" s="232">
        <v>1.4</v>
      </c>
      <c r="K64" s="232">
        <v>1.91</v>
      </c>
      <c r="L64" s="232">
        <v>1.91</v>
      </c>
      <c r="M64" s="232">
        <v>1.91</v>
      </c>
      <c r="N64" s="410">
        <v>1.91</v>
      </c>
    </row>
    <row r="65" spans="2:14" x14ac:dyDescent="0.3">
      <c r="B65" s="209" t="s">
        <v>386</v>
      </c>
      <c r="C65" s="209" t="s">
        <v>387</v>
      </c>
      <c r="D65" s="231"/>
      <c r="E65" s="232"/>
      <c r="F65" s="232"/>
      <c r="G65" s="232"/>
      <c r="H65" s="232">
        <v>2</v>
      </c>
      <c r="I65" s="232">
        <v>6</v>
      </c>
      <c r="J65" s="232">
        <v>19.12</v>
      </c>
      <c r="K65" s="232">
        <v>19.12</v>
      </c>
      <c r="L65" s="232">
        <v>19.12</v>
      </c>
      <c r="M65" s="232">
        <v>19.12</v>
      </c>
      <c r="N65" s="410">
        <v>19.12</v>
      </c>
    </row>
    <row r="66" spans="2:14" ht="15" thickBot="1" x14ac:dyDescent="0.35">
      <c r="B66" s="233" t="s">
        <v>388</v>
      </c>
      <c r="C66" s="233" t="s">
        <v>389</v>
      </c>
      <c r="D66" s="216"/>
      <c r="E66" s="217"/>
      <c r="F66" s="234">
        <f>0.625+0.143+0.499</f>
        <v>1.2669999999999999</v>
      </c>
      <c r="G66" s="234">
        <f>0.625+0.143+0.499</f>
        <v>1.2669999999999999</v>
      </c>
      <c r="H66" s="234">
        <f>0.625+0.143+0.499+0.499</f>
        <v>1.766</v>
      </c>
      <c r="I66" s="234">
        <f>+H66-0.499</f>
        <v>1.2669999999999999</v>
      </c>
      <c r="J66" s="234">
        <f>0.625+0.499</f>
        <v>1.1240000000000001</v>
      </c>
      <c r="K66" s="234">
        <v>1.1200000000000001</v>
      </c>
      <c r="L66" s="234">
        <v>1.1200000000000001</v>
      </c>
      <c r="M66" s="234">
        <v>1.1200000000000001</v>
      </c>
      <c r="N66" s="411">
        <v>3.1</v>
      </c>
    </row>
    <row r="67" spans="2:14" ht="15" thickBot="1" x14ac:dyDescent="0.35">
      <c r="B67" s="218" t="s">
        <v>353</v>
      </c>
      <c r="C67" s="218" t="s">
        <v>354</v>
      </c>
      <c r="D67" s="219"/>
      <c r="E67" s="220"/>
      <c r="F67" s="220"/>
      <c r="G67" s="220">
        <f>SUM(G63:G66)</f>
        <v>9.7669999999999995</v>
      </c>
      <c r="H67" s="220">
        <f t="shared" ref="H67:I67" si="16">SUM(H63:H66)</f>
        <v>12.266</v>
      </c>
      <c r="I67" s="220">
        <f t="shared" si="16"/>
        <v>15.766999999999999</v>
      </c>
      <c r="J67" s="250">
        <f>SUM(J63:J66)</f>
        <v>53.744000000000007</v>
      </c>
      <c r="K67" s="250">
        <f>SUM(K63:K66)</f>
        <v>69.25</v>
      </c>
      <c r="L67" s="250">
        <f>SUM(L63:L66)</f>
        <v>69.25</v>
      </c>
      <c r="M67" s="250">
        <f>SUM(M63:M66)</f>
        <v>69.650000000000006</v>
      </c>
      <c r="N67" s="412">
        <f>SUM(N63:N66)</f>
        <v>71.63</v>
      </c>
    </row>
    <row r="68" spans="2:14" ht="15" thickBot="1" x14ac:dyDescent="0.35">
      <c r="B68" s="226"/>
      <c r="C68" s="226"/>
      <c r="D68" s="43"/>
      <c r="E68" s="43"/>
      <c r="F68" s="43"/>
      <c r="G68" s="43"/>
      <c r="H68" s="43"/>
      <c r="I68" s="235"/>
      <c r="J68" s="235"/>
      <c r="K68" s="235"/>
      <c r="L68" s="235"/>
      <c r="M68" s="235"/>
      <c r="N68" s="400"/>
    </row>
    <row r="69" spans="2:14" ht="24.6" thickBot="1" x14ac:dyDescent="0.35">
      <c r="B69" s="221" t="s">
        <v>390</v>
      </c>
      <c r="C69" s="236" t="s">
        <v>391</v>
      </c>
      <c r="D69" s="253">
        <v>2013</v>
      </c>
      <c r="E69" s="203">
        <f>+D69+1</f>
        <v>2014</v>
      </c>
      <c r="F69" s="203">
        <f t="shared" ref="F69:I69" si="17">+E69+1</f>
        <v>2015</v>
      </c>
      <c r="G69" s="203">
        <f t="shared" si="17"/>
        <v>2016</v>
      </c>
      <c r="H69" s="203">
        <f t="shared" si="17"/>
        <v>2017</v>
      </c>
      <c r="I69" s="254">
        <f t="shared" si="17"/>
        <v>2018</v>
      </c>
      <c r="J69" s="254">
        <f t="shared" ref="J69" si="18">+I69+1</f>
        <v>2019</v>
      </c>
      <c r="K69" s="254">
        <f t="shared" ref="K69:N69" si="19">+J69+1</f>
        <v>2020</v>
      </c>
      <c r="L69" s="254">
        <f t="shared" si="19"/>
        <v>2021</v>
      </c>
      <c r="M69" s="254">
        <f t="shared" si="19"/>
        <v>2022</v>
      </c>
      <c r="N69" s="402">
        <f t="shared" si="19"/>
        <v>2023</v>
      </c>
    </row>
    <row r="70" spans="2:14" x14ac:dyDescent="0.3">
      <c r="B70" s="206" t="s">
        <v>392</v>
      </c>
      <c r="C70" s="206" t="s">
        <v>393</v>
      </c>
      <c r="D70" s="256"/>
      <c r="E70" s="230"/>
      <c r="F70" s="230">
        <v>30</v>
      </c>
      <c r="G70" s="230">
        <f>+F70</f>
        <v>30</v>
      </c>
      <c r="H70" s="251">
        <f>+G70</f>
        <v>30</v>
      </c>
      <c r="I70" s="230">
        <v>48</v>
      </c>
      <c r="J70" s="230">
        <f>+I70</f>
        <v>48</v>
      </c>
      <c r="K70" s="230">
        <v>66.05</v>
      </c>
      <c r="L70" s="230">
        <v>66.05</v>
      </c>
      <c r="M70" s="230">
        <v>66.05</v>
      </c>
      <c r="N70" s="409">
        <v>65.8</v>
      </c>
    </row>
    <row r="71" spans="2:14" x14ac:dyDescent="0.3">
      <c r="B71" s="209" t="s">
        <v>394</v>
      </c>
      <c r="C71" s="209" t="s">
        <v>395</v>
      </c>
      <c r="D71" s="257"/>
      <c r="E71" s="232"/>
      <c r="F71" s="232"/>
      <c r="G71" s="232"/>
      <c r="H71" s="252"/>
      <c r="I71" s="232">
        <v>6</v>
      </c>
      <c r="J71" s="232">
        <v>6</v>
      </c>
      <c r="K71" s="232">
        <v>6</v>
      </c>
      <c r="L71" s="232">
        <v>11</v>
      </c>
      <c r="M71" s="232">
        <v>11</v>
      </c>
      <c r="N71" s="410">
        <v>11</v>
      </c>
    </row>
    <row r="72" spans="2:14" x14ac:dyDescent="0.3">
      <c r="B72" s="209" t="s">
        <v>396</v>
      </c>
      <c r="C72" s="209" t="s">
        <v>397</v>
      </c>
      <c r="D72" s="257"/>
      <c r="E72" s="232"/>
      <c r="F72" s="232"/>
      <c r="G72" s="232">
        <v>0</v>
      </c>
      <c r="H72" s="252">
        <v>1.8</v>
      </c>
      <c r="I72" s="232">
        <v>5.8</v>
      </c>
      <c r="J72" s="232">
        <f>2+2+1.8+0.5</f>
        <v>6.3</v>
      </c>
      <c r="K72" s="232">
        <v>6.3</v>
      </c>
      <c r="L72" s="232">
        <v>6.3</v>
      </c>
      <c r="M72" s="232">
        <v>6.3</v>
      </c>
      <c r="N72" s="410">
        <v>6.3</v>
      </c>
    </row>
    <row r="73" spans="2:14" ht="15" thickBot="1" x14ac:dyDescent="0.35">
      <c r="B73" s="209" t="s">
        <v>505</v>
      </c>
      <c r="C73" s="209"/>
      <c r="D73" s="257"/>
      <c r="E73" s="232"/>
      <c r="F73" s="232"/>
      <c r="G73" s="232"/>
      <c r="H73" s="252"/>
      <c r="I73" s="232"/>
      <c r="J73" s="232"/>
      <c r="K73" s="232"/>
      <c r="L73" s="232"/>
      <c r="M73" s="232"/>
      <c r="N73" s="410">
        <v>4.5</v>
      </c>
    </row>
    <row r="74" spans="2:14" ht="15" thickBot="1" x14ac:dyDescent="0.35">
      <c r="B74" s="218" t="s">
        <v>353</v>
      </c>
      <c r="C74" s="218" t="s">
        <v>354</v>
      </c>
      <c r="D74" s="255"/>
      <c r="E74" s="220">
        <f t="shared" ref="E74:I74" si="20">SUM(E70:E72)</f>
        <v>0</v>
      </c>
      <c r="F74" s="220">
        <f t="shared" si="20"/>
        <v>30</v>
      </c>
      <c r="G74" s="220">
        <f t="shared" si="20"/>
        <v>30</v>
      </c>
      <c r="H74" s="220">
        <f t="shared" si="20"/>
        <v>31.8</v>
      </c>
      <c r="I74" s="220">
        <f t="shared" si="20"/>
        <v>59.8</v>
      </c>
      <c r="J74" s="220">
        <f>SUM(J70:J72)</f>
        <v>60.3</v>
      </c>
      <c r="K74" s="220">
        <f>SUM(K70:K72)</f>
        <v>78.349999999999994</v>
      </c>
      <c r="L74" s="220">
        <f>SUM(L70:L72)</f>
        <v>83.35</v>
      </c>
      <c r="M74" s="220">
        <f>SUM(M70:M72)</f>
        <v>83.35</v>
      </c>
      <c r="N74" s="406">
        <f>SUM(N70:N73)</f>
        <v>87.6</v>
      </c>
    </row>
    <row r="75" spans="2:14" x14ac:dyDescent="0.3">
      <c r="B75" s="226"/>
      <c r="C75" s="226"/>
      <c r="D75" s="43"/>
      <c r="E75" s="43"/>
      <c r="F75" s="43"/>
      <c r="G75" s="43"/>
      <c r="H75" s="43"/>
      <c r="I75" s="235"/>
      <c r="J75" s="235"/>
      <c r="K75" s="235"/>
      <c r="L75" s="235"/>
      <c r="M75" s="235"/>
      <c r="N75" s="400"/>
    </row>
    <row r="76" spans="2:14" x14ac:dyDescent="0.3">
      <c r="B76" s="226"/>
      <c r="C76" s="226"/>
      <c r="D76" s="43"/>
      <c r="E76" s="43"/>
      <c r="F76" s="43"/>
      <c r="G76" s="43"/>
      <c r="H76" s="43"/>
      <c r="I76" s="235"/>
      <c r="J76" s="235"/>
      <c r="K76" s="235"/>
      <c r="L76" s="235"/>
      <c r="M76" s="400"/>
      <c r="N76" s="400"/>
    </row>
    <row r="77" spans="2:14" x14ac:dyDescent="0.3">
      <c r="B77" s="226"/>
      <c r="C77" s="226"/>
      <c r="D77" s="43"/>
      <c r="E77" s="43"/>
      <c r="F77" s="43"/>
      <c r="G77" s="43"/>
      <c r="H77" s="43"/>
      <c r="I77" s="235"/>
      <c r="J77" s="235"/>
      <c r="K77" s="235"/>
      <c r="L77" s="235"/>
      <c r="M77" s="400"/>
      <c r="N77" s="400"/>
    </row>
    <row r="80" spans="2:14" x14ac:dyDescent="0.3">
      <c r="G80" s="235"/>
      <c r="J80" s="235"/>
      <c r="K80" s="235"/>
      <c r="L80" s="235"/>
      <c r="M80" s="400"/>
      <c r="N80" s="400"/>
    </row>
    <row r="81" spans="7:14" x14ac:dyDescent="0.3">
      <c r="G81" s="235"/>
      <c r="J81" s="235"/>
      <c r="K81" s="235"/>
      <c r="L81" s="235"/>
      <c r="M81" s="400"/>
      <c r="N81" s="400"/>
    </row>
    <row r="82" spans="7:14" x14ac:dyDescent="0.3">
      <c r="G82" s="235"/>
      <c r="J82" s="235"/>
      <c r="K82" s="235"/>
      <c r="L82" s="235"/>
      <c r="M82" s="400"/>
      <c r="N82" s="40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éves P&amp;L_mérleg</vt:lpstr>
      <vt:lpstr>féléves P&amp;L_mérleg</vt:lpstr>
      <vt:lpstr>negyedéves P&amp;L_mérleg</vt:lpstr>
      <vt:lpstr>szegmensek</vt:lpstr>
      <vt:lpstr>szegmensek új </vt:lpstr>
      <vt:lpstr>szegmensek - féléves</vt:lpstr>
      <vt:lpstr>naturáliák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Szécsi Balázs</dc:creator>
  <cp:lastModifiedBy>Szécsi Balázs</cp:lastModifiedBy>
  <dcterms:created xsi:type="dcterms:W3CDTF">2018-10-09T07:53:33Z</dcterms:created>
  <dcterms:modified xsi:type="dcterms:W3CDTF">2024-08-29T12:42:04Z</dcterms:modified>
</cp:coreProperties>
</file>