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ecsib\Documents\Prezentáció\Roundtable\"/>
    </mc:Choice>
  </mc:AlternateContent>
  <xr:revisionPtr revIDLastSave="0" documentId="8_{BDBDFFCB-9F65-487A-A1D0-2D79EB79B389}" xr6:coauthVersionLast="47" xr6:coauthVersionMax="47" xr10:uidLastSave="{00000000-0000-0000-0000-000000000000}"/>
  <bookViews>
    <workbookView xWindow="-108" yWindow="-108" windowWidth="23256" windowHeight="12576" xr2:uid="{605E8432-BFCE-4AA3-ADCE-7EBCE3D69CA7}"/>
  </bookViews>
  <sheets>
    <sheet name="éves P&amp;L_mérleg" sheetId="1" r:id="rId1"/>
    <sheet name="féléves P&amp;L_mérleg" sheetId="2" r:id="rId2"/>
    <sheet name="negyedéves P&amp;L_mérleg" sheetId="8" r:id="rId3"/>
    <sheet name="szegmensek" sheetId="5" state="hidden" r:id="rId4"/>
    <sheet name="szegmensek új " sheetId="11" r:id="rId5"/>
    <sheet name="szegmensek - féléves" sheetId="7" r:id="rId6"/>
    <sheet name="naturáliák" sheetId="12" r:id="rId7"/>
  </sheets>
  <externalReferences>
    <externalReference r:id="rId8"/>
    <externalReference r:id="rId9"/>
  </externalReferences>
  <calcPr calcId="191029" calcMode="autoNoTable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0" i="1" l="1"/>
  <c r="O180" i="1"/>
  <c r="P180" i="1"/>
  <c r="Q180" i="1"/>
  <c r="R180" i="1"/>
  <c r="S180" i="1"/>
  <c r="T180" i="1"/>
  <c r="U180" i="1"/>
  <c r="V180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R170" i="1"/>
  <c r="S170" i="1"/>
  <c r="T170" i="1"/>
  <c r="U170" i="1"/>
  <c r="V170" i="1"/>
  <c r="Q166" i="1"/>
  <c r="R166" i="1"/>
  <c r="S166" i="1"/>
  <c r="T166" i="1"/>
  <c r="U166" i="1"/>
  <c r="V166" i="1"/>
  <c r="N134" i="1"/>
  <c r="O134" i="1"/>
  <c r="P134" i="1"/>
  <c r="Q134" i="1"/>
  <c r="R134" i="1"/>
  <c r="S134" i="1"/>
  <c r="T134" i="1"/>
  <c r="U134" i="1"/>
  <c r="V134" i="1"/>
  <c r="N135" i="1"/>
  <c r="O135" i="1"/>
  <c r="P135" i="1"/>
  <c r="Q135" i="1"/>
  <c r="R135" i="1"/>
  <c r="S135" i="1"/>
  <c r="T135" i="1"/>
  <c r="U135" i="1"/>
  <c r="V135" i="1"/>
  <c r="S140" i="1"/>
  <c r="T140" i="1"/>
  <c r="U140" i="1"/>
  <c r="V140" i="1"/>
  <c r="R143" i="1"/>
  <c r="S143" i="1"/>
  <c r="T143" i="1"/>
  <c r="U143" i="1"/>
  <c r="R144" i="1"/>
  <c r="S144" i="1"/>
  <c r="T144" i="1"/>
  <c r="U144" i="1"/>
  <c r="R145" i="1"/>
  <c r="S145" i="1"/>
  <c r="T145" i="1"/>
  <c r="U145" i="1"/>
  <c r="V143" i="1"/>
  <c r="V144" i="1"/>
  <c r="V145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1" i="1"/>
  <c r="S141" i="1"/>
  <c r="T141" i="1"/>
  <c r="U141" i="1"/>
  <c r="V141" i="1"/>
  <c r="R142" i="1"/>
  <c r="S142" i="1"/>
  <c r="T142" i="1"/>
  <c r="U142" i="1"/>
  <c r="V142" i="1"/>
  <c r="R148" i="1"/>
  <c r="S148" i="1"/>
  <c r="T148" i="1"/>
  <c r="U148" i="1"/>
  <c r="V148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7" i="1"/>
  <c r="S157" i="1"/>
  <c r="T157" i="1"/>
  <c r="U157" i="1"/>
  <c r="V157" i="1"/>
  <c r="R158" i="1"/>
  <c r="S158" i="1"/>
  <c r="T158" i="1"/>
  <c r="U158" i="1"/>
  <c r="V158" i="1"/>
  <c r="R160" i="1"/>
  <c r="S160" i="1"/>
  <c r="T160" i="1"/>
  <c r="U160" i="1"/>
  <c r="V160" i="1"/>
  <c r="R162" i="1"/>
  <c r="S162" i="1"/>
  <c r="T162" i="1"/>
  <c r="U162" i="1"/>
  <c r="V162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R167" i="1"/>
  <c r="S167" i="1"/>
  <c r="T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R175" i="1"/>
  <c r="S175" i="1"/>
  <c r="T175" i="1"/>
  <c r="U175" i="1"/>
  <c r="V175" i="1"/>
  <c r="R182" i="1"/>
  <c r="S182" i="1"/>
  <c r="T182" i="1"/>
  <c r="U182" i="1"/>
  <c r="V182" i="1"/>
  <c r="R183" i="1"/>
  <c r="S183" i="1"/>
  <c r="T183" i="1"/>
  <c r="U183" i="1"/>
  <c r="V183" i="1"/>
  <c r="Q183" i="1"/>
  <c r="Q182" i="1"/>
  <c r="Q175" i="1"/>
  <c r="Q174" i="1"/>
  <c r="Q173" i="1"/>
  <c r="Q172" i="1"/>
  <c r="Q171" i="1"/>
  <c r="Q168" i="1"/>
  <c r="Q167" i="1"/>
  <c r="Q165" i="1"/>
  <c r="Q164" i="1"/>
  <c r="Q163" i="1"/>
  <c r="Q162" i="1"/>
  <c r="Q160" i="1"/>
  <c r="Q158" i="1"/>
  <c r="Q157" i="1"/>
  <c r="Q154" i="1"/>
  <c r="Q153" i="1"/>
  <c r="Q152" i="1"/>
  <c r="Q151" i="1"/>
  <c r="Q150" i="1"/>
  <c r="Q148" i="1"/>
  <c r="Q142" i="1"/>
  <c r="Q141" i="1"/>
  <c r="Q139" i="1"/>
  <c r="Q138" i="1"/>
  <c r="Q137" i="1"/>
  <c r="Q136" i="1"/>
  <c r="Q133" i="1"/>
  <c r="Q132" i="1"/>
  <c r="Q130" i="1"/>
  <c r="Q131" i="1"/>
  <c r="P118" i="1"/>
  <c r="P117" i="1"/>
  <c r="P115" i="1"/>
  <c r="P114" i="1"/>
  <c r="P113" i="1"/>
  <c r="P112" i="1"/>
  <c r="P111" i="1"/>
  <c r="P109" i="1"/>
  <c r="P107" i="1"/>
  <c r="P105" i="1"/>
  <c r="P104" i="1"/>
  <c r="P102" i="1"/>
  <c r="P101" i="1"/>
  <c r="P100" i="1"/>
  <c r="P98" i="1"/>
  <c r="P97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U82" i="1"/>
  <c r="V82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8" i="1"/>
  <c r="S88" i="1"/>
  <c r="T88" i="1"/>
  <c r="U88" i="1"/>
  <c r="V88" i="1"/>
  <c r="R89" i="1"/>
  <c r="S89" i="1"/>
  <c r="T89" i="1"/>
  <c r="U89" i="1"/>
  <c r="V89" i="1"/>
  <c r="S90" i="1"/>
  <c r="T90" i="1"/>
  <c r="U90" i="1"/>
  <c r="V90" i="1"/>
  <c r="Q89" i="1"/>
  <c r="Q88" i="1"/>
  <c r="Q86" i="1"/>
  <c r="Q85" i="1"/>
  <c r="Q84" i="1"/>
  <c r="Q82" i="1"/>
  <c r="Q81" i="1"/>
  <c r="Q79" i="1"/>
  <c r="Q77" i="1"/>
  <c r="Q76" i="1"/>
  <c r="Q75" i="1"/>
  <c r="Q74" i="1"/>
  <c r="Q73" i="1"/>
  <c r="Q72" i="1"/>
  <c r="Q71" i="1"/>
  <c r="V7" i="1"/>
  <c r="V8" i="1"/>
  <c r="V9" i="1"/>
  <c r="V10" i="1"/>
  <c r="V11" i="1"/>
  <c r="V12" i="1"/>
  <c r="V14" i="1"/>
  <c r="V15" i="1"/>
  <c r="V16" i="1"/>
  <c r="V17" i="1"/>
  <c r="V20" i="1"/>
  <c r="V21" i="1"/>
  <c r="V22" i="1"/>
  <c r="V24" i="1"/>
  <c r="V25" i="1"/>
  <c r="V26" i="1"/>
  <c r="V27" i="1"/>
  <c r="V29" i="1"/>
  <c r="V35" i="1"/>
  <c r="V36" i="1"/>
  <c r="V38" i="1"/>
  <c r="V39" i="1"/>
  <c r="V40" i="1"/>
  <c r="V41" i="1"/>
  <c r="V42" i="1"/>
  <c r="V43" i="1"/>
  <c r="V46" i="1"/>
  <c r="V47" i="1"/>
  <c r="V48" i="1"/>
  <c r="V49" i="1"/>
  <c r="V50" i="1"/>
  <c r="V51" i="1"/>
  <c r="V52" i="1"/>
  <c r="V55" i="1"/>
  <c r="V56" i="1"/>
  <c r="V57" i="1"/>
  <c r="V58" i="1"/>
  <c r="V59" i="1"/>
  <c r="V60" i="1"/>
  <c r="V61" i="1"/>
  <c r="V62" i="1"/>
  <c r="U7" i="1"/>
  <c r="U8" i="1"/>
  <c r="U9" i="1"/>
  <c r="U10" i="1"/>
  <c r="U11" i="1"/>
  <c r="U12" i="1"/>
  <c r="U14" i="1"/>
  <c r="U15" i="1"/>
  <c r="U16" i="1"/>
  <c r="U17" i="1"/>
  <c r="U20" i="1"/>
  <c r="U21" i="1"/>
  <c r="U22" i="1"/>
  <c r="U24" i="1"/>
  <c r="U25" i="1"/>
  <c r="U26" i="1"/>
  <c r="U27" i="1"/>
  <c r="U29" i="1"/>
  <c r="U35" i="1"/>
  <c r="U36" i="1"/>
  <c r="U38" i="1"/>
  <c r="U39" i="1"/>
  <c r="U40" i="1"/>
  <c r="U41" i="1"/>
  <c r="U42" i="1"/>
  <c r="U43" i="1"/>
  <c r="U46" i="1"/>
  <c r="U47" i="1"/>
  <c r="U48" i="1"/>
  <c r="U49" i="1"/>
  <c r="U50" i="1"/>
  <c r="U51" i="1"/>
  <c r="U52" i="1"/>
  <c r="U55" i="1"/>
  <c r="U56" i="1"/>
  <c r="U57" i="1"/>
  <c r="U58" i="1"/>
  <c r="U59" i="1"/>
  <c r="U60" i="1"/>
  <c r="U61" i="1"/>
  <c r="U62" i="1"/>
  <c r="AR5" i="8"/>
  <c r="H42" i="2"/>
  <c r="O42" i="2" s="1"/>
  <c r="H43" i="2"/>
  <c r="O43" i="2" s="1"/>
  <c r="H44" i="2"/>
  <c r="H46" i="2"/>
  <c r="O46" i="2" s="1"/>
  <c r="H47" i="2"/>
  <c r="O47" i="2" s="1"/>
  <c r="H48" i="2"/>
  <c r="O48" i="2" s="1"/>
  <c r="H38" i="2"/>
  <c r="H40" i="2"/>
  <c r="O40" i="2" s="1"/>
  <c r="O44" i="2"/>
  <c r="H32" i="2"/>
  <c r="O32" i="2" s="1"/>
  <c r="H33" i="2"/>
  <c r="H34" i="2"/>
  <c r="O34" i="2" s="1"/>
  <c r="H35" i="2"/>
  <c r="O35" i="2" s="1"/>
  <c r="H36" i="2"/>
  <c r="O36" i="2" s="1"/>
  <c r="O38" i="2"/>
  <c r="O33" i="2"/>
  <c r="H31" i="2"/>
  <c r="O31" i="2" s="1"/>
  <c r="G31" i="2"/>
  <c r="N31" i="2" s="1"/>
  <c r="L180" i="1"/>
  <c r="L169" i="1"/>
  <c r="L155" i="1"/>
  <c r="V155" i="1" s="1"/>
  <c r="L146" i="1"/>
  <c r="L78" i="1"/>
  <c r="L80" i="1" s="1"/>
  <c r="L83" i="1" s="1"/>
  <c r="L87" i="1" s="1"/>
  <c r="H45" i="2" s="1"/>
  <c r="O45" i="2" s="1"/>
  <c r="L54" i="1"/>
  <c r="V54" i="1" s="1"/>
  <c r="L45" i="1"/>
  <c r="V45" i="1" s="1"/>
  <c r="L34" i="1"/>
  <c r="L33" i="1" s="1"/>
  <c r="V33" i="1" s="1"/>
  <c r="L19" i="1"/>
  <c r="V19" i="1" s="1"/>
  <c r="L6" i="1"/>
  <c r="V6" i="1" s="1"/>
  <c r="V31" i="1" s="1"/>
  <c r="V169" i="1" l="1"/>
  <c r="R146" i="1"/>
  <c r="U169" i="1"/>
  <c r="T169" i="1"/>
  <c r="S169" i="1"/>
  <c r="R169" i="1"/>
  <c r="S146" i="1"/>
  <c r="U146" i="1"/>
  <c r="T146" i="1"/>
  <c r="V146" i="1"/>
  <c r="V64" i="1"/>
  <c r="V78" i="1"/>
  <c r="V87" i="1"/>
  <c r="H41" i="2"/>
  <c r="O41" i="2" s="1"/>
  <c r="V34" i="1"/>
  <c r="V80" i="1"/>
  <c r="V83" i="1"/>
  <c r="U34" i="1"/>
  <c r="L156" i="1"/>
  <c r="L159" i="1" s="1"/>
  <c r="L161" i="1" s="1"/>
  <c r="L181" i="1" s="1"/>
  <c r="L184" i="1" s="1"/>
  <c r="H39" i="2"/>
  <c r="O39" i="2" s="1"/>
  <c r="H37" i="2"/>
  <c r="O37" i="2" s="1"/>
  <c r="L64" i="1"/>
  <c r="L31" i="1"/>
  <c r="V156" i="1" l="1"/>
  <c r="V159" i="1" s="1"/>
  <c r="V161" i="1" s="1"/>
  <c r="V181" i="1" s="1"/>
  <c r="X14" i="12"/>
  <c r="X6" i="12"/>
  <c r="X3" i="12"/>
  <c r="L27" i="12"/>
  <c r="K27" i="12"/>
  <c r="L60" i="12"/>
  <c r="L71" i="12"/>
  <c r="L65" i="12"/>
  <c r="L57" i="12"/>
  <c r="L37" i="12"/>
  <c r="L11" i="12"/>
  <c r="V184" i="1" l="1"/>
  <c r="W42" i="8"/>
  <c r="V42" i="8"/>
  <c r="AR49" i="8"/>
  <c r="AR48" i="8"/>
  <c r="AR47" i="8"/>
  <c r="AR46" i="8"/>
  <c r="AR45" i="8"/>
  <c r="AR44" i="8"/>
  <c r="AR41" i="8"/>
  <c r="AR38" i="8"/>
  <c r="AR37" i="8"/>
  <c r="AR36" i="8"/>
  <c r="AR35" i="8"/>
  <c r="AR24" i="8"/>
  <c r="AR23" i="8"/>
  <c r="AR22" i="8"/>
  <c r="AR21" i="8"/>
  <c r="AR20" i="8"/>
  <c r="AR19" i="8"/>
  <c r="AR18" i="8"/>
  <c r="AR17" i="8"/>
  <c r="AR16" i="8"/>
  <c r="AR15" i="8"/>
  <c r="AR14" i="8"/>
  <c r="AR13" i="8"/>
  <c r="AR12" i="8"/>
  <c r="AR11" i="8"/>
  <c r="AR10" i="8"/>
  <c r="AR9" i="8"/>
  <c r="AR8" i="8"/>
  <c r="AR7" i="8"/>
  <c r="AR6" i="8"/>
  <c r="Y11" i="8"/>
  <c r="Z11" i="8"/>
  <c r="AA11" i="8"/>
  <c r="AC11" i="8"/>
  <c r="AD11" i="8"/>
  <c r="AE11" i="8"/>
  <c r="AG11" i="8"/>
  <c r="AH11" i="8"/>
  <c r="AI11" i="8"/>
  <c r="AJ11" i="8"/>
  <c r="AK11" i="8"/>
  <c r="AL11" i="8"/>
  <c r="AM11" i="8"/>
  <c r="AN11" i="8"/>
  <c r="AO11" i="8"/>
  <c r="AP11" i="8"/>
  <c r="AQ11" i="8"/>
  <c r="AQ49" i="8"/>
  <c r="AQ48" i="8"/>
  <c r="AQ47" i="8"/>
  <c r="AQ46" i="8"/>
  <c r="AQ45" i="8"/>
  <c r="AQ44" i="8"/>
  <c r="AQ41" i="8"/>
  <c r="AQ38" i="8"/>
  <c r="AQ37" i="8"/>
  <c r="AQ36" i="8"/>
  <c r="AQ35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0" i="8"/>
  <c r="AQ9" i="8"/>
  <c r="AQ8" i="8"/>
  <c r="AQ7" i="8"/>
  <c r="AQ6" i="8"/>
  <c r="AQ5" i="8"/>
  <c r="U49" i="8"/>
  <c r="AP49" i="8" s="1"/>
  <c r="U48" i="8"/>
  <c r="AP48" i="8" s="1"/>
  <c r="U47" i="8"/>
  <c r="U46" i="8"/>
  <c r="U45" i="8"/>
  <c r="AP45" i="8" s="1"/>
  <c r="U44" i="8"/>
  <c r="AP44" i="8" s="1"/>
  <c r="U38" i="8"/>
  <c r="AP38" i="8" s="1"/>
  <c r="U37" i="8"/>
  <c r="AP37" i="8" s="1"/>
  <c r="U35" i="8"/>
  <c r="AP35" i="8" s="1"/>
  <c r="U36" i="8"/>
  <c r="AP36" i="8" s="1"/>
  <c r="AP47" i="8"/>
  <c r="AP46" i="8"/>
  <c r="AP41" i="8"/>
  <c r="AP24" i="8"/>
  <c r="AP23" i="8"/>
  <c r="AP22" i="8"/>
  <c r="AP20" i="8"/>
  <c r="AP19" i="8"/>
  <c r="AP18" i="8"/>
  <c r="AP16" i="8"/>
  <c r="AP15" i="8"/>
  <c r="AP13" i="8"/>
  <c r="AP10" i="8"/>
  <c r="AP9" i="8"/>
  <c r="AP8" i="8"/>
  <c r="AP7" i="8"/>
  <c r="AP6" i="8"/>
  <c r="AP5" i="8"/>
  <c r="U12" i="8"/>
  <c r="U14" i="8" s="1"/>
  <c r="U17" i="8" s="1"/>
  <c r="U21" i="8" s="1"/>
  <c r="AP21" i="8" s="1"/>
  <c r="O108" i="2"/>
  <c r="O55" i="2"/>
  <c r="O54" i="2"/>
  <c r="O56" i="2"/>
  <c r="O57" i="2"/>
  <c r="O58" i="2"/>
  <c r="O59" i="2"/>
  <c r="O60" i="2"/>
  <c r="O61" i="2"/>
  <c r="O63" i="2"/>
  <c r="O64" i="2"/>
  <c r="O65" i="2"/>
  <c r="O68" i="2"/>
  <c r="O69" i="2"/>
  <c r="O67" i="2" s="1"/>
  <c r="O70" i="2"/>
  <c r="O71" i="2"/>
  <c r="O72" i="2"/>
  <c r="O73" i="2"/>
  <c r="O74" i="2"/>
  <c r="O75" i="2"/>
  <c r="O76" i="2"/>
  <c r="O113" i="2"/>
  <c r="O103" i="2"/>
  <c r="O94" i="2"/>
  <c r="O87" i="2"/>
  <c r="O86" i="2"/>
  <c r="O112" i="2"/>
  <c r="O24" i="2"/>
  <c r="O23" i="2"/>
  <c r="O22" i="2"/>
  <c r="O21" i="2"/>
  <c r="O20" i="2"/>
  <c r="O19" i="2"/>
  <c r="O18" i="2"/>
  <c r="O17" i="2"/>
  <c r="O15" i="2"/>
  <c r="O14" i="2"/>
  <c r="O13" i="2"/>
  <c r="O12" i="2"/>
  <c r="O10" i="2"/>
  <c r="O9" i="2"/>
  <c r="O8" i="2"/>
  <c r="O7" i="2"/>
  <c r="O6" i="2"/>
  <c r="O5" i="2"/>
  <c r="H84" i="2"/>
  <c r="H85" i="2"/>
  <c r="H105" i="2"/>
  <c r="H96" i="2"/>
  <c r="H54" i="2"/>
  <c r="H67" i="2"/>
  <c r="G32" i="2"/>
  <c r="G33" i="2"/>
  <c r="G34" i="2"/>
  <c r="G35" i="2"/>
  <c r="G36" i="2"/>
  <c r="G38" i="2"/>
  <c r="G40" i="2"/>
  <c r="G42" i="2"/>
  <c r="G43" i="2"/>
  <c r="G44" i="2"/>
  <c r="G46" i="2"/>
  <c r="G47" i="2"/>
  <c r="G48" i="2"/>
  <c r="H14" i="2"/>
  <c r="H17" i="2" s="1"/>
  <c r="H21" i="2" s="1"/>
  <c r="H12" i="2"/>
  <c r="G12" i="2"/>
  <c r="AP14" i="8" l="1"/>
  <c r="AP17" i="8"/>
  <c r="AP12" i="8"/>
  <c r="O78" i="2"/>
  <c r="O88" i="2"/>
  <c r="O97" i="2"/>
  <c r="O107" i="2"/>
  <c r="O90" i="2"/>
  <c r="O99" i="2"/>
  <c r="O109" i="2"/>
  <c r="O106" i="2"/>
  <c r="O89" i="2"/>
  <c r="O98" i="2"/>
  <c r="O81" i="2"/>
  <c r="O91" i="2"/>
  <c r="O100" i="2"/>
  <c r="O110" i="2"/>
  <c r="O92" i="2"/>
  <c r="O101" i="2"/>
  <c r="O111" i="2"/>
  <c r="O93" i="2"/>
  <c r="O102" i="2"/>
  <c r="H115" i="2"/>
  <c r="H78" i="2"/>
  <c r="O85" i="2" l="1"/>
  <c r="O84" i="2" s="1"/>
  <c r="O96" i="2"/>
  <c r="O105" i="2"/>
  <c r="T49" i="8"/>
  <c r="AO49" i="8" s="1"/>
  <c r="AO48" i="8"/>
  <c r="AO47" i="8"/>
  <c r="AO46" i="8"/>
  <c r="AO45" i="8"/>
  <c r="AO44" i="8"/>
  <c r="AO41" i="8"/>
  <c r="AO38" i="8"/>
  <c r="AO37" i="8"/>
  <c r="AO36" i="8"/>
  <c r="AO35" i="8"/>
  <c r="AO24" i="8"/>
  <c r="AO23" i="8"/>
  <c r="AO22" i="8"/>
  <c r="AO21" i="8"/>
  <c r="AO20" i="8"/>
  <c r="AO19" i="8"/>
  <c r="AO18" i="8"/>
  <c r="AO17" i="8"/>
  <c r="AO16" i="8"/>
  <c r="AO15" i="8"/>
  <c r="AO14" i="8"/>
  <c r="AO13" i="8"/>
  <c r="AO12" i="8"/>
  <c r="AO10" i="8"/>
  <c r="AO9" i="8"/>
  <c r="AO8" i="8"/>
  <c r="AO7" i="8"/>
  <c r="AO6" i="8"/>
  <c r="AO5" i="8"/>
  <c r="AN5" i="8"/>
  <c r="AN6" i="8"/>
  <c r="AN7" i="8"/>
  <c r="AN8" i="8"/>
  <c r="AN9" i="8"/>
  <c r="AN10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M49" i="8"/>
  <c r="AM48" i="8"/>
  <c r="AM47" i="8"/>
  <c r="AM46" i="8"/>
  <c r="AM45" i="8"/>
  <c r="AM44" i="8"/>
  <c r="AN41" i="8"/>
  <c r="S48" i="8"/>
  <c r="AN48" i="8" s="1"/>
  <c r="S46" i="8"/>
  <c r="AN46" i="8" s="1"/>
  <c r="S37" i="8"/>
  <c r="AN37" i="8" s="1"/>
  <c r="O115" i="2" l="1"/>
  <c r="G180" i="1"/>
  <c r="H180" i="1"/>
  <c r="I180" i="1"/>
  <c r="J180" i="1"/>
  <c r="K180" i="1"/>
  <c r="K169" i="1"/>
  <c r="K155" i="1"/>
  <c r="U155" i="1" s="1"/>
  <c r="U156" i="1" s="1"/>
  <c r="U159" i="1" s="1"/>
  <c r="U161" i="1" s="1"/>
  <c r="U181" i="1" s="1"/>
  <c r="U184" i="1" s="1"/>
  <c r="K146" i="1"/>
  <c r="K78" i="1"/>
  <c r="T57" i="1"/>
  <c r="P62" i="1"/>
  <c r="P61" i="1"/>
  <c r="P60" i="1"/>
  <c r="P59" i="1"/>
  <c r="P58" i="1"/>
  <c r="P56" i="1"/>
  <c r="P55" i="1"/>
  <c r="P52" i="1"/>
  <c r="P51" i="1"/>
  <c r="P50" i="1"/>
  <c r="P49" i="1"/>
  <c r="P48" i="1"/>
  <c r="P47" i="1"/>
  <c r="P46" i="1"/>
  <c r="P43" i="1"/>
  <c r="P42" i="1"/>
  <c r="P41" i="1"/>
  <c r="P40" i="1"/>
  <c r="P39" i="1"/>
  <c r="P38" i="1"/>
  <c r="P36" i="1"/>
  <c r="P35" i="1"/>
  <c r="P29" i="1"/>
  <c r="P27" i="1"/>
  <c r="P26" i="1"/>
  <c r="P25" i="1"/>
  <c r="P24" i="1"/>
  <c r="P22" i="1"/>
  <c r="P21" i="1"/>
  <c r="P20" i="1"/>
  <c r="P17" i="1"/>
  <c r="P16" i="1"/>
  <c r="P15" i="1"/>
  <c r="P14" i="1"/>
  <c r="P12" i="1"/>
  <c r="P11" i="1"/>
  <c r="P10" i="1"/>
  <c r="P9" i="1"/>
  <c r="P8" i="1"/>
  <c r="P7" i="1"/>
  <c r="S7" i="1"/>
  <c r="T62" i="1"/>
  <c r="T61" i="1"/>
  <c r="T60" i="1"/>
  <c r="T59" i="1"/>
  <c r="T58" i="1"/>
  <c r="T56" i="1"/>
  <c r="T55" i="1"/>
  <c r="T52" i="1"/>
  <c r="T51" i="1"/>
  <c r="T50" i="1"/>
  <c r="T49" i="1"/>
  <c r="T48" i="1"/>
  <c r="T47" i="1"/>
  <c r="T46" i="1"/>
  <c r="T43" i="1"/>
  <c r="T42" i="1"/>
  <c r="T41" i="1"/>
  <c r="T40" i="1"/>
  <c r="T39" i="1"/>
  <c r="T38" i="1"/>
  <c r="T36" i="1"/>
  <c r="T35" i="1"/>
  <c r="T29" i="1"/>
  <c r="T27" i="1"/>
  <c r="T26" i="1"/>
  <c r="T25" i="1"/>
  <c r="T24" i="1"/>
  <c r="T22" i="1"/>
  <c r="T21" i="1"/>
  <c r="T20" i="1"/>
  <c r="T17" i="1"/>
  <c r="T16" i="1"/>
  <c r="T15" i="1"/>
  <c r="T14" i="1"/>
  <c r="T12" i="1"/>
  <c r="T11" i="1"/>
  <c r="T10" i="1"/>
  <c r="T9" i="1"/>
  <c r="T8" i="1"/>
  <c r="T7" i="1"/>
  <c r="K54" i="1"/>
  <c r="U54" i="1" s="1"/>
  <c r="K45" i="1"/>
  <c r="U45" i="1" s="1"/>
  <c r="K34" i="1"/>
  <c r="K19" i="1"/>
  <c r="U19" i="1" s="1"/>
  <c r="G37" i="2" l="1"/>
  <c r="U78" i="1"/>
  <c r="S45" i="8"/>
  <c r="AN45" i="8" s="1"/>
  <c r="S36" i="8"/>
  <c r="AN36" i="8" s="1"/>
  <c r="S47" i="8"/>
  <c r="AN47" i="8" s="1"/>
  <c r="K156" i="1"/>
  <c r="K159" i="1" s="1"/>
  <c r="K161" i="1" s="1"/>
  <c r="K181" i="1" s="1"/>
  <c r="K184" i="1" s="1"/>
  <c r="K33" i="1"/>
  <c r="S44" i="8" l="1"/>
  <c r="AN44" i="8" s="1"/>
  <c r="U33" i="1"/>
  <c r="U64" i="1" s="1"/>
  <c r="K64" i="1"/>
  <c r="S49" i="8" s="1"/>
  <c r="AN49" i="8" s="1"/>
  <c r="K6" i="1" l="1"/>
  <c r="W6" i="12"/>
  <c r="K71" i="12"/>
  <c r="K65" i="12"/>
  <c r="K57" i="12"/>
  <c r="K37" i="12"/>
  <c r="K11" i="12"/>
  <c r="S35" i="8" l="1"/>
  <c r="AN35" i="8" s="1"/>
  <c r="U6" i="1"/>
  <c r="U31" i="1" s="1"/>
  <c r="K80" i="1"/>
  <c r="K31" i="1"/>
  <c r="S38" i="8" s="1"/>
  <c r="AN38" i="8" s="1"/>
  <c r="I117" i="11"/>
  <c r="H117" i="11"/>
  <c r="G39" i="2" l="1"/>
  <c r="U80" i="1"/>
  <c r="K83" i="1"/>
  <c r="I102" i="11"/>
  <c r="I103" i="11" s="1"/>
  <c r="H102" i="11"/>
  <c r="I79" i="11"/>
  <c r="I80" i="11" s="1"/>
  <c r="H79" i="11"/>
  <c r="H80" i="11" s="1"/>
  <c r="I56" i="11"/>
  <c r="I57" i="11" s="1"/>
  <c r="H56" i="11"/>
  <c r="H57" i="11" s="1"/>
  <c r="I33" i="11"/>
  <c r="H33" i="11"/>
  <c r="H34" i="11" s="1"/>
  <c r="I9" i="11"/>
  <c r="I10" i="11" s="1"/>
  <c r="H9" i="11"/>
  <c r="H10" i="11" s="1"/>
  <c r="F64" i="7"/>
  <c r="F63" i="7"/>
  <c r="F57" i="7"/>
  <c r="F56" i="7"/>
  <c r="F50" i="7"/>
  <c r="F49" i="7"/>
  <c r="F43" i="7"/>
  <c r="F42" i="7"/>
  <c r="F36" i="7"/>
  <c r="F35" i="7"/>
  <c r="F29" i="7"/>
  <c r="F28" i="7"/>
  <c r="G41" i="2" l="1"/>
  <c r="U83" i="1"/>
  <c r="H103" i="11"/>
  <c r="H119" i="11" s="1"/>
  <c r="H118" i="11"/>
  <c r="K87" i="1"/>
  <c r="U87" i="1" s="1"/>
  <c r="I118" i="11"/>
  <c r="I34" i="11"/>
  <c r="I119" i="11" s="1"/>
  <c r="G45" i="2" l="1"/>
  <c r="J9" i="11"/>
  <c r="J10" i="11" s="1"/>
  <c r="J33" i="11"/>
  <c r="J34" i="11" s="1"/>
  <c r="J56" i="11"/>
  <c r="J57" i="11" s="1"/>
  <c r="J79" i="11"/>
  <c r="J80" i="11" s="1"/>
  <c r="J102" i="11"/>
  <c r="J103" i="11" s="1"/>
  <c r="J117" i="11"/>
  <c r="J119" i="11" l="1"/>
  <c r="J118" i="11"/>
  <c r="F65" i="7" l="1"/>
  <c r="F58" i="7"/>
  <c r="F44" i="7"/>
  <c r="F37" i="7"/>
  <c r="F30" i="7"/>
  <c r="N51" i="2"/>
  <c r="AK38" i="8"/>
  <c r="AK37" i="8"/>
  <c r="AK36" i="8"/>
  <c r="AK35" i="8"/>
  <c r="AK49" i="8"/>
  <c r="AK48" i="8"/>
  <c r="AK47" i="8"/>
  <c r="AK46" i="8"/>
  <c r="AK45" i="8"/>
  <c r="AK44" i="8"/>
  <c r="AL38" i="8"/>
  <c r="AL37" i="8"/>
  <c r="AL36" i="8"/>
  <c r="AL35" i="8"/>
  <c r="AL49" i="8"/>
  <c r="AL48" i="8"/>
  <c r="AL47" i="8"/>
  <c r="AL46" i="8"/>
  <c r="AL45" i="8"/>
  <c r="AL44" i="8"/>
  <c r="AM38" i="8"/>
  <c r="AM37" i="8"/>
  <c r="AM36" i="8"/>
  <c r="AM35" i="8"/>
  <c r="AM24" i="8"/>
  <c r="AM23" i="8"/>
  <c r="AM22" i="8"/>
  <c r="AM20" i="8"/>
  <c r="AM19" i="8"/>
  <c r="AM18" i="8"/>
  <c r="AM16" i="8"/>
  <c r="AM15" i="8"/>
  <c r="AM13" i="8"/>
  <c r="AM10" i="8"/>
  <c r="AM9" i="8"/>
  <c r="AM8" i="8"/>
  <c r="AM7" i="8"/>
  <c r="AM6" i="8"/>
  <c r="AM5" i="8"/>
  <c r="R12" i="8"/>
  <c r="R14" i="8" s="1"/>
  <c r="R17" i="8" s="1"/>
  <c r="R21" i="8" s="1"/>
  <c r="AM21" i="8" s="1"/>
  <c r="N81" i="2" l="1"/>
  <c r="N56" i="2"/>
  <c r="N64" i="2"/>
  <c r="N76" i="2"/>
  <c r="N68" i="2"/>
  <c r="N57" i="2"/>
  <c r="N65" i="2"/>
  <c r="N75" i="2"/>
  <c r="N55" i="2"/>
  <c r="N58" i="2"/>
  <c r="N108" i="2"/>
  <c r="N74" i="2"/>
  <c r="N59" i="2"/>
  <c r="N73" i="2"/>
  <c r="N60" i="2"/>
  <c r="N72" i="2"/>
  <c r="N69" i="2"/>
  <c r="N61" i="2"/>
  <c r="N71" i="2"/>
  <c r="N62" i="2"/>
  <c r="N70" i="2"/>
  <c r="N63" i="2"/>
  <c r="AM12" i="8"/>
  <c r="N90" i="2"/>
  <c r="N100" i="2"/>
  <c r="N111" i="2"/>
  <c r="N91" i="2"/>
  <c r="N101" i="2"/>
  <c r="N112" i="2"/>
  <c r="AM14" i="8"/>
  <c r="N92" i="2"/>
  <c r="N102" i="2"/>
  <c r="N113" i="2"/>
  <c r="N93" i="2"/>
  <c r="N103" i="2"/>
  <c r="N86" i="2"/>
  <c r="N94" i="2"/>
  <c r="N106" i="2"/>
  <c r="AM17" i="8"/>
  <c r="N87" i="2"/>
  <c r="N97" i="2"/>
  <c r="N107" i="2"/>
  <c r="N88" i="2"/>
  <c r="N98" i="2"/>
  <c r="N109" i="2"/>
  <c r="N89" i="2"/>
  <c r="N99" i="2"/>
  <c r="N110" i="2"/>
  <c r="F51" i="7"/>
  <c r="AL33" i="8" l="1"/>
  <c r="AL42" i="8" s="1"/>
  <c r="AM33" i="8"/>
  <c r="AM42" i="8" s="1"/>
  <c r="AK33" i="8"/>
  <c r="AK42" i="8" s="1"/>
  <c r="AK16" i="8" l="1"/>
  <c r="P12" i="8"/>
  <c r="P24" i="8" s="1"/>
  <c r="P14" i="8" l="1"/>
  <c r="P17" i="8" s="1"/>
  <c r="P21" i="8" s="1"/>
  <c r="AK21" i="8" s="1"/>
  <c r="Q12" i="8"/>
  <c r="Q24" i="8" s="1"/>
  <c r="AL24" i="8" s="1"/>
  <c r="AK5" i="8"/>
  <c r="AL5" i="8"/>
  <c r="AK6" i="8"/>
  <c r="AL6" i="8"/>
  <c r="AK7" i="8"/>
  <c r="AL7" i="8"/>
  <c r="AK8" i="8"/>
  <c r="AL8" i="8"/>
  <c r="AK9" i="8"/>
  <c r="AL9" i="8"/>
  <c r="AK10" i="8"/>
  <c r="AL10" i="8"/>
  <c r="AK12" i="8"/>
  <c r="AK13" i="8"/>
  <c r="AL13" i="8"/>
  <c r="AK15" i="8"/>
  <c r="AL15" i="8"/>
  <c r="AK18" i="8"/>
  <c r="AL18" i="8"/>
  <c r="AK19" i="8"/>
  <c r="AL19" i="8"/>
  <c r="AK20" i="8"/>
  <c r="AL20" i="8"/>
  <c r="AK22" i="8"/>
  <c r="AL22" i="8"/>
  <c r="AK23" i="8"/>
  <c r="AL23" i="8"/>
  <c r="AK24" i="8"/>
  <c r="AK41" i="8"/>
  <c r="AL41" i="8"/>
  <c r="AM41" i="8"/>
  <c r="F47" i="2"/>
  <c r="M47" i="2" s="1"/>
  <c r="F46" i="2"/>
  <c r="M46" i="2" s="1"/>
  <c r="F44" i="2"/>
  <c r="M44" i="2" s="1"/>
  <c r="F43" i="2"/>
  <c r="M43" i="2" s="1"/>
  <c r="F42" i="2"/>
  <c r="M42" i="2" s="1"/>
  <c r="F40" i="2"/>
  <c r="M40" i="2" s="1"/>
  <c r="F38" i="2"/>
  <c r="M38" i="2" s="1"/>
  <c r="F36" i="2"/>
  <c r="M36" i="2" s="1"/>
  <c r="F35" i="2"/>
  <c r="M35" i="2" s="1"/>
  <c r="F34" i="2"/>
  <c r="M34" i="2" s="1"/>
  <c r="F33" i="2"/>
  <c r="M33" i="2" s="1"/>
  <c r="F32" i="2"/>
  <c r="M32" i="2" s="1"/>
  <c r="F31" i="2"/>
  <c r="M31" i="2" s="1"/>
  <c r="AK14" i="8" l="1"/>
  <c r="AK17" i="8"/>
  <c r="Q14" i="8"/>
  <c r="AL12" i="8"/>
  <c r="Q17" i="8" l="1"/>
  <c r="AL14" i="8"/>
  <c r="AL17" i="8" l="1"/>
  <c r="Q21" i="8"/>
  <c r="AL21" i="8" s="1"/>
  <c r="N48" i="2" l="1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23" i="2"/>
  <c r="N22" i="2"/>
  <c r="N20" i="2"/>
  <c r="N19" i="2"/>
  <c r="N18" i="2"/>
  <c r="N15" i="2"/>
  <c r="N13" i="2"/>
  <c r="N10" i="2"/>
  <c r="N9" i="2"/>
  <c r="N8" i="2"/>
  <c r="N7" i="2"/>
  <c r="N6" i="2"/>
  <c r="N5" i="2"/>
  <c r="G105" i="2"/>
  <c r="G96" i="2"/>
  <c r="G84" i="2"/>
  <c r="G67" i="2"/>
  <c r="G54" i="2"/>
  <c r="G24" i="2"/>
  <c r="N24" i="2" s="1"/>
  <c r="G78" i="2" l="1"/>
  <c r="N96" i="2"/>
  <c r="N105" i="2"/>
  <c r="N54" i="2"/>
  <c r="N67" i="2"/>
  <c r="N85" i="2"/>
  <c r="N84" i="2" s="1"/>
  <c r="N12" i="2"/>
  <c r="G115" i="2"/>
  <c r="G14" i="2"/>
  <c r="O24" i="8"/>
  <c r="O23" i="8"/>
  <c r="O22" i="8"/>
  <c r="O20" i="8"/>
  <c r="O19" i="8"/>
  <c r="O18" i="8"/>
  <c r="O15" i="8"/>
  <c r="O13" i="8"/>
  <c r="O7" i="8"/>
  <c r="O8" i="8"/>
  <c r="O9" i="8"/>
  <c r="O6" i="8"/>
  <c r="N78" i="2" l="1"/>
  <c r="N115" i="2"/>
  <c r="G17" i="2"/>
  <c r="N17" i="2" s="1"/>
  <c r="N14" i="2"/>
  <c r="V6" i="12"/>
  <c r="E27" i="12"/>
  <c r="D27" i="12"/>
  <c r="J27" i="12"/>
  <c r="D57" i="12"/>
  <c r="I57" i="12"/>
  <c r="H57" i="12"/>
  <c r="G57" i="12"/>
  <c r="F57" i="12"/>
  <c r="E57" i="12"/>
  <c r="J57" i="12"/>
  <c r="G21" i="2" l="1"/>
  <c r="N21" i="2" s="1"/>
  <c r="G98" i="11"/>
  <c r="F98" i="11"/>
  <c r="G75" i="11"/>
  <c r="F75" i="11"/>
  <c r="G56" i="11"/>
  <c r="F56" i="11"/>
  <c r="G52" i="11"/>
  <c r="F52" i="11"/>
  <c r="G57" i="11"/>
  <c r="F33" i="11"/>
  <c r="G33" i="11"/>
  <c r="G9" i="11"/>
  <c r="G29" i="11"/>
  <c r="F29" i="11"/>
  <c r="F5" i="11"/>
  <c r="G5" i="11"/>
  <c r="I71" i="12" l="1"/>
  <c r="F71" i="12"/>
  <c r="E71" i="12"/>
  <c r="J70" i="12"/>
  <c r="J68" i="12"/>
  <c r="G68" i="12"/>
  <c r="G71" i="12" s="1"/>
  <c r="E67" i="12"/>
  <c r="F67" i="12" s="1"/>
  <c r="G67" i="12" s="1"/>
  <c r="H67" i="12" s="1"/>
  <c r="I67" i="12" s="1"/>
  <c r="J67" i="12" s="1"/>
  <c r="K67" i="12" s="1"/>
  <c r="L67" i="12" s="1"/>
  <c r="J64" i="12"/>
  <c r="H64" i="12"/>
  <c r="G64" i="12"/>
  <c r="G65" i="12" s="1"/>
  <c r="F64" i="12"/>
  <c r="E60" i="12"/>
  <c r="F60" i="12" s="1"/>
  <c r="G60" i="12" s="1"/>
  <c r="H60" i="12" s="1"/>
  <c r="I60" i="12" s="1"/>
  <c r="J60" i="12" s="1"/>
  <c r="E39" i="12"/>
  <c r="F39" i="12" s="1"/>
  <c r="G39" i="12" s="1"/>
  <c r="H39" i="12" s="1"/>
  <c r="I39" i="12" s="1"/>
  <c r="J39" i="12" s="1"/>
  <c r="K39" i="12" s="1"/>
  <c r="L39" i="12" s="1"/>
  <c r="J37" i="12"/>
  <c r="F37" i="12"/>
  <c r="E37" i="12"/>
  <c r="D37" i="12"/>
  <c r="I37" i="12"/>
  <c r="H37" i="12"/>
  <c r="G37" i="12"/>
  <c r="E29" i="12"/>
  <c r="F29" i="12" s="1"/>
  <c r="G29" i="12" s="1"/>
  <c r="H29" i="12" s="1"/>
  <c r="I29" i="12" s="1"/>
  <c r="J29" i="12" s="1"/>
  <c r="K29" i="12" s="1"/>
  <c r="L29" i="12" s="1"/>
  <c r="I24" i="12"/>
  <c r="I27" i="12" s="1"/>
  <c r="H22" i="12"/>
  <c r="H27" i="12" s="1"/>
  <c r="G27" i="12"/>
  <c r="F27" i="12"/>
  <c r="Q14" i="12"/>
  <c r="R14" i="12" s="1"/>
  <c r="S14" i="12" s="1"/>
  <c r="T14" i="12" s="1"/>
  <c r="U14" i="12" s="1"/>
  <c r="V14" i="12" s="1"/>
  <c r="W14" i="12" s="1"/>
  <c r="E14" i="12"/>
  <c r="F14" i="12" s="1"/>
  <c r="G14" i="12" s="1"/>
  <c r="H14" i="12" s="1"/>
  <c r="I14" i="12" s="1"/>
  <c r="J14" i="12" s="1"/>
  <c r="K14" i="12" s="1"/>
  <c r="L14" i="12" s="1"/>
  <c r="J11" i="12"/>
  <c r="H11" i="12"/>
  <c r="G11" i="12"/>
  <c r="F11" i="12"/>
  <c r="E11" i="12"/>
  <c r="D11" i="12"/>
  <c r="I11" i="12"/>
  <c r="U6" i="12"/>
  <c r="T6" i="12"/>
  <c r="R6" i="12"/>
  <c r="Q6" i="12"/>
  <c r="P6" i="12"/>
  <c r="S5" i="12"/>
  <c r="S6" i="12" s="1"/>
  <c r="Q3" i="12"/>
  <c r="R3" i="12" s="1"/>
  <c r="S3" i="12" s="1"/>
  <c r="T3" i="12" s="1"/>
  <c r="U3" i="12" s="1"/>
  <c r="V3" i="12" s="1"/>
  <c r="W3" i="12" s="1"/>
  <c r="E3" i="12"/>
  <c r="F3" i="12" s="1"/>
  <c r="G3" i="12" s="1"/>
  <c r="H3" i="12" s="1"/>
  <c r="I3" i="12" s="1"/>
  <c r="J3" i="12" s="1"/>
  <c r="K3" i="12" s="1"/>
  <c r="L3" i="12" s="1"/>
  <c r="J65" i="12" l="1"/>
  <c r="I64" i="12"/>
  <c r="H68" i="12"/>
  <c r="H71" i="12" s="1"/>
  <c r="J71" i="12"/>
  <c r="H65" i="12"/>
  <c r="I65" i="12" l="1"/>
  <c r="J169" i="1" l="1"/>
  <c r="J155" i="1" l="1"/>
  <c r="T155" i="1" s="1"/>
  <c r="T156" i="1" s="1"/>
  <c r="T159" i="1" s="1"/>
  <c r="T161" i="1" s="1"/>
  <c r="T181" i="1" s="1"/>
  <c r="T184" i="1" s="1"/>
  <c r="D146" i="1"/>
  <c r="E146" i="1"/>
  <c r="F146" i="1"/>
  <c r="G146" i="1"/>
  <c r="H146" i="1"/>
  <c r="J146" i="1"/>
  <c r="I146" i="1"/>
  <c r="J82" i="1"/>
  <c r="T82" i="1" s="1"/>
  <c r="J78" i="1"/>
  <c r="T78" i="1" s="1"/>
  <c r="J54" i="1"/>
  <c r="T54" i="1" s="1"/>
  <c r="J45" i="1"/>
  <c r="T45" i="1" s="1"/>
  <c r="J34" i="1"/>
  <c r="J33" i="1" s="1"/>
  <c r="T33" i="1" s="1"/>
  <c r="J19" i="1"/>
  <c r="T19" i="1" s="1"/>
  <c r="J6" i="1"/>
  <c r="T6" i="1" s="1"/>
  <c r="J31" i="1" l="1"/>
  <c r="J80" i="1"/>
  <c r="O12" i="8"/>
  <c r="T64" i="1"/>
  <c r="J64" i="1"/>
  <c r="T31" i="1"/>
  <c r="J156" i="1"/>
  <c r="J159" i="1" s="1"/>
  <c r="J161" i="1" s="1"/>
  <c r="J181" i="1" s="1"/>
  <c r="J184" i="1" s="1"/>
  <c r="T34" i="1"/>
  <c r="G103" i="11"/>
  <c r="G102" i="11"/>
  <c r="G80" i="11"/>
  <c r="G79" i="11"/>
  <c r="G118" i="11" s="1"/>
  <c r="G125" i="11" s="1"/>
  <c r="G117" i="11"/>
  <c r="G124" i="11" s="1"/>
  <c r="G34" i="11"/>
  <c r="G10" i="11"/>
  <c r="O14" i="8" l="1"/>
  <c r="O17" i="8" s="1"/>
  <c r="T80" i="1"/>
  <c r="J83" i="1"/>
  <c r="T83" i="1" s="1"/>
  <c r="G119" i="11"/>
  <c r="G126" i="11" s="1"/>
  <c r="H154" i="11"/>
  <c r="H153" i="11"/>
  <c r="H152" i="11"/>
  <c r="H151" i="11"/>
  <c r="H150" i="11"/>
  <c r="J87" i="1" l="1"/>
  <c r="T87" i="1" s="1"/>
  <c r="AJ41" i="8"/>
  <c r="AJ24" i="8"/>
  <c r="AJ23" i="8"/>
  <c r="AJ22" i="8"/>
  <c r="AJ20" i="8"/>
  <c r="AJ19" i="8"/>
  <c r="AJ18" i="8"/>
  <c r="AJ17" i="8"/>
  <c r="AJ15" i="8"/>
  <c r="AJ14" i="8"/>
  <c r="AJ13" i="8"/>
  <c r="AJ12" i="8"/>
  <c r="AJ10" i="8"/>
  <c r="AJ9" i="8"/>
  <c r="AJ8" i="8"/>
  <c r="AJ7" i="8"/>
  <c r="AJ6" i="8"/>
  <c r="AJ5" i="8"/>
  <c r="O21" i="8" l="1"/>
  <c r="AJ21" i="8" s="1"/>
  <c r="AI42" i="8"/>
  <c r="AI41" i="8"/>
  <c r="AI5" i="8"/>
  <c r="AI6" i="8"/>
  <c r="AI7" i="8"/>
  <c r="AI8" i="8"/>
  <c r="AI9" i="8"/>
  <c r="AI10" i="8"/>
  <c r="AI13" i="8"/>
  <c r="AI15" i="8"/>
  <c r="AI18" i="8"/>
  <c r="AI20" i="8"/>
  <c r="AI22" i="8"/>
  <c r="E64" i="7"/>
  <c r="E65" i="7" s="1"/>
  <c r="E63" i="7"/>
  <c r="E57" i="7"/>
  <c r="E58" i="7" s="1"/>
  <c r="E56" i="7"/>
  <c r="E50" i="7"/>
  <c r="E49" i="7"/>
  <c r="E51" i="7" s="1"/>
  <c r="E43" i="7"/>
  <c r="E42" i="7"/>
  <c r="E44" i="7" s="1"/>
  <c r="E37" i="7"/>
  <c r="E36" i="7"/>
  <c r="E35" i="7"/>
  <c r="E29" i="7"/>
  <c r="E30" i="7" s="1"/>
  <c r="E28" i="7"/>
  <c r="D23" i="7"/>
  <c r="D16" i="7"/>
  <c r="D9" i="7"/>
  <c r="AI47" i="8" l="1"/>
  <c r="AC37" i="8"/>
  <c r="AF36" i="8"/>
  <c r="AI35" i="8"/>
  <c r="AA35" i="8"/>
  <c r="AJ46" i="8"/>
  <c r="AI38" i="8"/>
  <c r="AB37" i="8"/>
  <c r="AE36" i="8"/>
  <c r="AH35" i="8"/>
  <c r="Z35" i="8"/>
  <c r="AJ45" i="8"/>
  <c r="AC35" i="8"/>
  <c r="AI37" i="8"/>
  <c r="AA37" i="8"/>
  <c r="AD36" i="8"/>
  <c r="AG35" i="8"/>
  <c r="Y35" i="8"/>
  <c r="AJ44" i="8"/>
  <c r="AH37" i="8"/>
  <c r="Z37" i="8"/>
  <c r="AC36" i="8"/>
  <c r="AF35" i="8"/>
  <c r="AJ37" i="8"/>
  <c r="AI48" i="8"/>
  <c r="AG37" i="8"/>
  <c r="Y37" i="8"/>
  <c r="AB36" i="8"/>
  <c r="AE35" i="8"/>
  <c r="AJ36" i="8"/>
  <c r="AI46" i="8"/>
  <c r="AB35" i="8"/>
  <c r="AF37" i="8"/>
  <c r="AI36" i="8"/>
  <c r="AA36" i="8"/>
  <c r="AD35" i="8"/>
  <c r="AJ35" i="8"/>
  <c r="AE37" i="8"/>
  <c r="AH36" i="8"/>
  <c r="Z36" i="8"/>
  <c r="AJ48" i="8"/>
  <c r="AD37" i="8"/>
  <c r="AG36" i="8"/>
  <c r="Y36" i="8"/>
  <c r="AJ47" i="8"/>
  <c r="AI44" i="8"/>
  <c r="AI45" i="8"/>
  <c r="D29" i="7"/>
  <c r="AJ49" i="8" l="1"/>
  <c r="AI49" i="8"/>
  <c r="AI12" i="8"/>
  <c r="D58" i="7" l="1"/>
  <c r="C58" i="7"/>
  <c r="D57" i="7"/>
  <c r="C57" i="7"/>
  <c r="D56" i="7"/>
  <c r="C56" i="7"/>
  <c r="D51" i="7"/>
  <c r="C51" i="7"/>
  <c r="D50" i="7"/>
  <c r="C50" i="7"/>
  <c r="D49" i="7"/>
  <c r="C49" i="7"/>
  <c r="D44" i="7"/>
  <c r="C44" i="7"/>
  <c r="D43" i="7"/>
  <c r="C43" i="7"/>
  <c r="D42" i="7"/>
  <c r="C42" i="7"/>
  <c r="D37" i="7"/>
  <c r="C37" i="7"/>
  <c r="D36" i="7"/>
  <c r="C36" i="7"/>
  <c r="D35" i="7"/>
  <c r="C35" i="7"/>
  <c r="C30" i="7"/>
  <c r="C29" i="7"/>
  <c r="C28" i="7"/>
  <c r="E96" i="11"/>
  <c r="E98" i="11" s="1"/>
  <c r="G161" i="11"/>
  <c r="D102" i="11" s="1"/>
  <c r="F161" i="11"/>
  <c r="F168" i="11" s="1"/>
  <c r="E103" i="11" s="1"/>
  <c r="E161" i="11"/>
  <c r="G160" i="11"/>
  <c r="D79" i="11" s="1"/>
  <c r="F160" i="11"/>
  <c r="E79" i="11" s="1"/>
  <c r="E160" i="11"/>
  <c r="G159" i="11"/>
  <c r="D56" i="11" s="1"/>
  <c r="F159" i="11"/>
  <c r="E56" i="11" s="1"/>
  <c r="E159" i="11"/>
  <c r="G158" i="11"/>
  <c r="D33" i="11" s="1"/>
  <c r="F158" i="11"/>
  <c r="E33" i="11" s="1"/>
  <c r="E158" i="11"/>
  <c r="G157" i="11"/>
  <c r="D9" i="11" s="1"/>
  <c r="F157" i="11"/>
  <c r="E9" i="11" s="1"/>
  <c r="E157" i="11"/>
  <c r="G155" i="11"/>
  <c r="G162" i="11" s="1"/>
  <c r="F155" i="11"/>
  <c r="F162" i="11" s="1"/>
  <c r="F169" i="11" s="1"/>
  <c r="E155" i="11"/>
  <c r="H155" i="11" s="1"/>
  <c r="G154" i="11"/>
  <c r="G153" i="11"/>
  <c r="F153" i="11"/>
  <c r="F167" i="11" s="1"/>
  <c r="E80" i="11" s="1"/>
  <c r="G152" i="11"/>
  <c r="F152" i="11"/>
  <c r="G151" i="11"/>
  <c r="F151" i="11"/>
  <c r="E27" i="11" s="1"/>
  <c r="E29" i="11" s="1"/>
  <c r="G150" i="11"/>
  <c r="F150" i="11"/>
  <c r="F164" i="11" s="1"/>
  <c r="E10" i="11" s="1"/>
  <c r="D64" i="7" l="1"/>
  <c r="D71" i="7" s="1"/>
  <c r="E165" i="11"/>
  <c r="F34" i="11" s="1"/>
  <c r="H158" i="11"/>
  <c r="F166" i="11"/>
  <c r="E57" i="11" s="1"/>
  <c r="E164" i="11"/>
  <c r="H164" i="11" s="1"/>
  <c r="F9" i="11"/>
  <c r="F10" i="11" s="1"/>
  <c r="H157" i="11"/>
  <c r="E168" i="11"/>
  <c r="F103" i="11" s="1"/>
  <c r="H161" i="11"/>
  <c r="E102" i="11"/>
  <c r="E118" i="11" s="1"/>
  <c r="E125" i="11" s="1"/>
  <c r="E166" i="11"/>
  <c r="F57" i="11" s="1"/>
  <c r="H159" i="11"/>
  <c r="E167" i="11"/>
  <c r="F80" i="11" s="1"/>
  <c r="H160" i="11"/>
  <c r="F79" i="11"/>
  <c r="F117" i="11"/>
  <c r="F124" i="11" s="1"/>
  <c r="G168" i="11"/>
  <c r="D103" i="11" s="1"/>
  <c r="G164" i="11"/>
  <c r="D10" i="11" s="1"/>
  <c r="G165" i="11"/>
  <c r="D34" i="11" s="1"/>
  <c r="F102" i="11"/>
  <c r="D118" i="11"/>
  <c r="D125" i="11" s="1"/>
  <c r="G167" i="11"/>
  <c r="D80" i="11" s="1"/>
  <c r="E3" i="11"/>
  <c r="E5" i="11" s="1"/>
  <c r="D27" i="11"/>
  <c r="D29" i="11" s="1"/>
  <c r="E50" i="11"/>
  <c r="E52" i="11" s="1"/>
  <c r="D73" i="11"/>
  <c r="D75" i="11" s="1"/>
  <c r="F165" i="11"/>
  <c r="E34" i="11" s="1"/>
  <c r="E73" i="11"/>
  <c r="E75" i="11" s="1"/>
  <c r="D96" i="11"/>
  <c r="D98" i="11" s="1"/>
  <c r="G166" i="11"/>
  <c r="D57" i="11" s="1"/>
  <c r="D3" i="11"/>
  <c r="D5" i="11" s="1"/>
  <c r="D50" i="11"/>
  <c r="D52" i="11" s="1"/>
  <c r="C63" i="7"/>
  <c r="C70" i="7" s="1"/>
  <c r="C64" i="7"/>
  <c r="C71" i="7" s="1"/>
  <c r="C65" i="7"/>
  <c r="C72" i="7" s="1"/>
  <c r="D63" i="7"/>
  <c r="D70" i="7" s="1"/>
  <c r="D65" i="7"/>
  <c r="D72" i="7" s="1"/>
  <c r="G163" i="11"/>
  <c r="F163" i="11"/>
  <c r="E156" i="11"/>
  <c r="H156" i="11" s="1"/>
  <c r="E162" i="11"/>
  <c r="H162" i="11" s="1"/>
  <c r="G169" i="11"/>
  <c r="F156" i="11"/>
  <c r="G156" i="11"/>
  <c r="H165" i="11" l="1"/>
  <c r="H166" i="11"/>
  <c r="H168" i="11"/>
  <c r="H167" i="11"/>
  <c r="E119" i="11"/>
  <c r="E126" i="11" s="1"/>
  <c r="F119" i="11"/>
  <c r="D119" i="11"/>
  <c r="D126" i="11" s="1"/>
  <c r="E163" i="11"/>
  <c r="H163" i="11" s="1"/>
  <c r="F118" i="11"/>
  <c r="F125" i="11" s="1"/>
  <c r="F170" i="11"/>
  <c r="D117" i="11"/>
  <c r="D124" i="11" s="1"/>
  <c r="G170" i="11"/>
  <c r="E117" i="11"/>
  <c r="E124" i="11" s="1"/>
  <c r="E169" i="11"/>
  <c r="H169" i="11" s="1"/>
  <c r="Z42" i="8"/>
  <c r="AA42" i="8"/>
  <c r="AB42" i="8"/>
  <c r="AC42" i="8"/>
  <c r="AD42" i="8"/>
  <c r="AE42" i="8"/>
  <c r="AF42" i="8"/>
  <c r="AG42" i="8"/>
  <c r="AH42" i="8"/>
  <c r="Y43" i="8"/>
  <c r="Y42" i="8"/>
  <c r="Z41" i="8"/>
  <c r="AA41" i="8"/>
  <c r="AC41" i="8"/>
  <c r="AD41" i="8"/>
  <c r="AE41" i="8"/>
  <c r="AG41" i="8"/>
  <c r="AH41" i="8"/>
  <c r="Y41" i="8"/>
  <c r="AH10" i="8"/>
  <c r="AI14" i="8"/>
  <c r="AH7" i="8"/>
  <c r="AH8" i="8"/>
  <c r="AH9" i="8"/>
  <c r="AH13" i="8"/>
  <c r="AH15" i="8"/>
  <c r="AH18" i="8"/>
  <c r="AH20" i="8"/>
  <c r="AH22" i="8"/>
  <c r="AH5" i="8"/>
  <c r="O38" i="8"/>
  <c r="AJ38" i="8" s="1"/>
  <c r="AF32" i="8"/>
  <c r="AB32" i="8"/>
  <c r="AF2" i="8"/>
  <c r="AF11" i="8" s="1"/>
  <c r="AB2" i="8"/>
  <c r="AB11" i="8" s="1"/>
  <c r="AE47" i="8" l="1"/>
  <c r="AE44" i="8"/>
  <c r="AE45" i="8"/>
  <c r="Y45" i="8"/>
  <c r="Y44" i="8"/>
  <c r="Y47" i="8"/>
  <c r="AD44" i="8"/>
  <c r="AD45" i="8"/>
  <c r="AD47" i="8"/>
  <c r="AC45" i="8"/>
  <c r="AC47" i="8"/>
  <c r="AC44" i="8"/>
  <c r="Z44" i="8"/>
  <c r="Z45" i="8"/>
  <c r="Z47" i="8"/>
  <c r="AH44" i="8"/>
  <c r="AH45" i="8"/>
  <c r="AH47" i="8"/>
  <c r="AG45" i="8"/>
  <c r="AG47" i="8"/>
  <c r="AG44" i="8"/>
  <c r="AA44" i="8"/>
  <c r="AA45" i="8"/>
  <c r="AA47" i="8"/>
  <c r="AF41" i="8"/>
  <c r="AB41" i="8"/>
  <c r="AI24" i="8"/>
  <c r="E170" i="11"/>
  <c r="H170" i="11" s="1"/>
  <c r="F126" i="11"/>
  <c r="AH6" i="8"/>
  <c r="AB47" i="8" l="1"/>
  <c r="AB45" i="8"/>
  <c r="AB44" i="8"/>
  <c r="AF47" i="8"/>
  <c r="AF44" i="8"/>
  <c r="AF45" i="8"/>
  <c r="AI19" i="8"/>
  <c r="AI17" i="8"/>
  <c r="AI23" i="8"/>
  <c r="AI21" i="8"/>
  <c r="AH12" i="8"/>
  <c r="AH14" i="8"/>
  <c r="AH24" i="8"/>
  <c r="AH19" i="8" l="1"/>
  <c r="AH17" i="8"/>
  <c r="AH23" i="8" l="1"/>
  <c r="AH21" i="8"/>
  <c r="AG18" i="8" l="1"/>
  <c r="AC15" i="8"/>
  <c r="AC13" i="8"/>
  <c r="AG13" i="8"/>
  <c r="AG7" i="8"/>
  <c r="AG8" i="8"/>
  <c r="AG9" i="8"/>
  <c r="AC10" i="8"/>
  <c r="AG10" i="8"/>
  <c r="AC5" i="8"/>
  <c r="AG5" i="8"/>
  <c r="Y5" i="8"/>
  <c r="M38" i="8"/>
  <c r="AH38" i="8" s="1"/>
  <c r="L38" i="8"/>
  <c r="AG38" i="8" s="1"/>
  <c r="K38" i="8"/>
  <c r="AF38" i="8" s="1"/>
  <c r="J38" i="8"/>
  <c r="AE38" i="8" s="1"/>
  <c r="I38" i="8"/>
  <c r="AD38" i="8" s="1"/>
  <c r="H38" i="8"/>
  <c r="AC38" i="8" s="1"/>
  <c r="G38" i="8"/>
  <c r="AB38" i="8" s="1"/>
  <c r="F38" i="8"/>
  <c r="AA38" i="8" s="1"/>
  <c r="E38" i="8"/>
  <c r="Z38" i="8" s="1"/>
  <c r="D38" i="8"/>
  <c r="Y38" i="8" s="1"/>
  <c r="Z34" i="8"/>
  <c r="AG22" i="8"/>
  <c r="AE22" i="8"/>
  <c r="AD22" i="8"/>
  <c r="AC22" i="8"/>
  <c r="AA22" i="8"/>
  <c r="Z22" i="8"/>
  <c r="Y22" i="8"/>
  <c r="AG20" i="8"/>
  <c r="AE20" i="8"/>
  <c r="AD20" i="8"/>
  <c r="AC20" i="8"/>
  <c r="AA20" i="8"/>
  <c r="Z20" i="8"/>
  <c r="Y20" i="8"/>
  <c r="AE18" i="8"/>
  <c r="AD18" i="8"/>
  <c r="AA18" i="8"/>
  <c r="Z18" i="8"/>
  <c r="Y18" i="8"/>
  <c r="AG15" i="8"/>
  <c r="AE15" i="8"/>
  <c r="AD15" i="8"/>
  <c r="AA15" i="8"/>
  <c r="Z15" i="8"/>
  <c r="Y15" i="8"/>
  <c r="AE13" i="8"/>
  <c r="AD13" i="8"/>
  <c r="AA13" i="8"/>
  <c r="Z13" i="8"/>
  <c r="Y13" i="8"/>
  <c r="AE10" i="8"/>
  <c r="AD10" i="8"/>
  <c r="AA10" i="8"/>
  <c r="Z10" i="8"/>
  <c r="AE9" i="8"/>
  <c r="AD9" i="8"/>
  <c r="AC9" i="8"/>
  <c r="AA9" i="8"/>
  <c r="Z9" i="8"/>
  <c r="Y9" i="8"/>
  <c r="AE8" i="8"/>
  <c r="AD8" i="8"/>
  <c r="AC8" i="8"/>
  <c r="AA8" i="8"/>
  <c r="Z8" i="8"/>
  <c r="Y8" i="8"/>
  <c r="AE7" i="8"/>
  <c r="AD7" i="8"/>
  <c r="AC7" i="8"/>
  <c r="AA7" i="8"/>
  <c r="Z7" i="8"/>
  <c r="Y7" i="8"/>
  <c r="AE6" i="8"/>
  <c r="AD6" i="8"/>
  <c r="AC6" i="8"/>
  <c r="AA6" i="8"/>
  <c r="Z6" i="8"/>
  <c r="Y6" i="8"/>
  <c r="AE5" i="8"/>
  <c r="AD5" i="8"/>
  <c r="Z5" i="8"/>
  <c r="AF20" i="8"/>
  <c r="AB20" i="8"/>
  <c r="Y14" i="8" l="1"/>
  <c r="AA5" i="8"/>
  <c r="AA34" i="8"/>
  <c r="Z43" i="8"/>
  <c r="L49" i="8"/>
  <c r="AG49" i="8" s="1"/>
  <c r="H49" i="8"/>
  <c r="AC49" i="8" s="1"/>
  <c r="G49" i="8"/>
  <c r="AB49" i="8" s="1"/>
  <c r="K49" i="8"/>
  <c r="AF49" i="8" s="1"/>
  <c r="D49" i="8"/>
  <c r="Y49" i="8" s="1"/>
  <c r="AC18" i="8"/>
  <c r="AG24" i="8"/>
  <c r="AG6" i="8"/>
  <c r="Y10" i="8"/>
  <c r="AB24" i="8"/>
  <c r="AB14" i="8"/>
  <c r="AF24" i="8"/>
  <c r="AF14" i="8"/>
  <c r="F49" i="8"/>
  <c r="AA49" i="8" s="1"/>
  <c r="J49" i="8"/>
  <c r="AE49" i="8" s="1"/>
  <c r="Y19" i="8"/>
  <c r="Z24" i="8"/>
  <c r="Z19" i="8"/>
  <c r="Z14" i="8"/>
  <c r="AD24" i="8"/>
  <c r="AD19" i="8"/>
  <c r="AD14" i="8"/>
  <c r="AA24" i="8"/>
  <c r="AA19" i="8"/>
  <c r="AA14" i="8"/>
  <c r="AE24" i="8"/>
  <c r="AE19" i="8"/>
  <c r="AE14" i="8"/>
  <c r="E49" i="8"/>
  <c r="Z49" i="8" s="1"/>
  <c r="I49" i="8"/>
  <c r="AD49" i="8" s="1"/>
  <c r="M49" i="8"/>
  <c r="AH49" i="8" s="1"/>
  <c r="Y12" i="8"/>
  <c r="AC12" i="8"/>
  <c r="AG12" i="8"/>
  <c r="AB15" i="8"/>
  <c r="AF15" i="8"/>
  <c r="AB5" i="8"/>
  <c r="AF5" i="8"/>
  <c r="AB7" i="8"/>
  <c r="AF7" i="8"/>
  <c r="AB9" i="8"/>
  <c r="AF9" i="8"/>
  <c r="Z12" i="8"/>
  <c r="AD12" i="8"/>
  <c r="AB13" i="8"/>
  <c r="AF13" i="8"/>
  <c r="AB19" i="8"/>
  <c r="AF19" i="8"/>
  <c r="AA12" i="8"/>
  <c r="AE12" i="8"/>
  <c r="AB22" i="8"/>
  <c r="AF22" i="8"/>
  <c r="AB6" i="8"/>
  <c r="AF6" i="8"/>
  <c r="AB8" i="8"/>
  <c r="AF8" i="8"/>
  <c r="AB10" i="8"/>
  <c r="AF10" i="8"/>
  <c r="AB12" i="8"/>
  <c r="AF12" i="8"/>
  <c r="AB18" i="8"/>
  <c r="AF18" i="8"/>
  <c r="Y24" i="8" l="1"/>
  <c r="AC19" i="8"/>
  <c r="AC24" i="8"/>
  <c r="AG14" i="8"/>
  <c r="AG19" i="8"/>
  <c r="AB34" i="8"/>
  <c r="AA43" i="8"/>
  <c r="AC14" i="8"/>
  <c r="AC17" i="8"/>
  <c r="Z17" i="8"/>
  <c r="AA17" i="8"/>
  <c r="AD17" i="8"/>
  <c r="AB17" i="8"/>
  <c r="AE17" i="8"/>
  <c r="Y17" i="8"/>
  <c r="AF17" i="8"/>
  <c r="AG17" i="8" l="1"/>
  <c r="AC34" i="8"/>
  <c r="AB43" i="8"/>
  <c r="AC21" i="8"/>
  <c r="AC23" i="8"/>
  <c r="AB21" i="8"/>
  <c r="AB23" i="8"/>
  <c r="AA21" i="8"/>
  <c r="AA23" i="8"/>
  <c r="AG21" i="8"/>
  <c r="AG23" i="8"/>
  <c r="AD21" i="8"/>
  <c r="AD23" i="8"/>
  <c r="Z21" i="8"/>
  <c r="Z23" i="8"/>
  <c r="AF21" i="8"/>
  <c r="AF23" i="8"/>
  <c r="AE21" i="8"/>
  <c r="AE23" i="8"/>
  <c r="Y21" i="8"/>
  <c r="Y23" i="8"/>
  <c r="AD34" i="8" l="1"/>
  <c r="AC43" i="8"/>
  <c r="E47" i="2"/>
  <c r="L47" i="2" s="1"/>
  <c r="D47" i="2"/>
  <c r="K47" i="2" s="1"/>
  <c r="E46" i="2"/>
  <c r="D46" i="2"/>
  <c r="E44" i="2"/>
  <c r="L44" i="2" s="1"/>
  <c r="D44" i="2"/>
  <c r="K44" i="2" s="1"/>
  <c r="E43" i="2"/>
  <c r="L43" i="2" s="1"/>
  <c r="D43" i="2"/>
  <c r="K43" i="2" s="1"/>
  <c r="E42" i="2"/>
  <c r="D42" i="2"/>
  <c r="D33" i="2"/>
  <c r="K33" i="2" s="1"/>
  <c r="E33" i="2"/>
  <c r="L33" i="2" s="1"/>
  <c r="D34" i="2"/>
  <c r="K34" i="2" s="1"/>
  <c r="E34" i="2"/>
  <c r="L34" i="2" s="1"/>
  <c r="D35" i="2"/>
  <c r="K35" i="2" s="1"/>
  <c r="E35" i="2"/>
  <c r="L35" i="2" s="1"/>
  <c r="D36" i="2"/>
  <c r="K36" i="2" s="1"/>
  <c r="E36" i="2"/>
  <c r="L36" i="2" s="1"/>
  <c r="E32" i="2"/>
  <c r="L32" i="2" s="1"/>
  <c r="D32" i="2"/>
  <c r="K32" i="2" s="1"/>
  <c r="D38" i="2"/>
  <c r="K38" i="2" s="1"/>
  <c r="E38" i="2"/>
  <c r="L38" i="2" s="1"/>
  <c r="D40" i="2"/>
  <c r="K40" i="2" s="1"/>
  <c r="E40" i="2"/>
  <c r="L40" i="2" s="1"/>
  <c r="E31" i="2"/>
  <c r="L31" i="2" s="1"/>
  <c r="D31" i="2"/>
  <c r="M107" i="2"/>
  <c r="M110" i="2"/>
  <c r="M111" i="2"/>
  <c r="M112" i="2"/>
  <c r="M113" i="2"/>
  <c r="M109" i="2"/>
  <c r="M106" i="2"/>
  <c r="M98" i="2"/>
  <c r="M99" i="2"/>
  <c r="M100" i="2"/>
  <c r="M101" i="2"/>
  <c r="M102" i="2"/>
  <c r="M103" i="2"/>
  <c r="M97" i="2"/>
  <c r="M87" i="2"/>
  <c r="M88" i="2"/>
  <c r="M89" i="2"/>
  <c r="M90" i="2"/>
  <c r="M91" i="2"/>
  <c r="M92" i="2"/>
  <c r="M93" i="2"/>
  <c r="M94" i="2"/>
  <c r="M86" i="2"/>
  <c r="M69" i="2"/>
  <c r="M70" i="2"/>
  <c r="M71" i="2"/>
  <c r="M72" i="2"/>
  <c r="M73" i="2"/>
  <c r="M74" i="2"/>
  <c r="M75" i="2"/>
  <c r="M76" i="2"/>
  <c r="M68" i="2"/>
  <c r="M65" i="2"/>
  <c r="M64" i="2"/>
  <c r="M63" i="2"/>
  <c r="M61" i="2"/>
  <c r="M60" i="2"/>
  <c r="M59" i="2"/>
  <c r="M58" i="2"/>
  <c r="M57" i="2"/>
  <c r="M56" i="2"/>
  <c r="M55" i="2"/>
  <c r="AE34" i="8" l="1"/>
  <c r="AD43" i="8"/>
  <c r="M54" i="2"/>
  <c r="M67" i="2"/>
  <c r="K31" i="2"/>
  <c r="M105" i="2"/>
  <c r="M96" i="2"/>
  <c r="M85" i="2"/>
  <c r="M84" i="2" s="1"/>
  <c r="AF34" i="8" l="1"/>
  <c r="AE43" i="8"/>
  <c r="M78" i="2"/>
  <c r="M115" i="2"/>
  <c r="AG34" i="8" l="1"/>
  <c r="AF43" i="8"/>
  <c r="AH34" i="8" l="1"/>
  <c r="AG43" i="8"/>
  <c r="AI34" i="8" l="1"/>
  <c r="AH43" i="8"/>
  <c r="F67" i="2"/>
  <c r="F54" i="2"/>
  <c r="F105" i="2"/>
  <c r="F96" i="2"/>
  <c r="F85" i="2"/>
  <c r="F84" i="2" s="1"/>
  <c r="M5" i="2"/>
  <c r="M6" i="2"/>
  <c r="M7" i="2"/>
  <c r="M8" i="2"/>
  <c r="M9" i="2"/>
  <c r="M10" i="2"/>
  <c r="M13" i="2"/>
  <c r="M15" i="2"/>
  <c r="M18" i="2"/>
  <c r="M19" i="2"/>
  <c r="M20" i="2"/>
  <c r="M22" i="2"/>
  <c r="M23" i="2"/>
  <c r="F12" i="2"/>
  <c r="F37" i="2" s="1"/>
  <c r="M37" i="2" s="1"/>
  <c r="AI43" i="8" l="1"/>
  <c r="AJ43" i="8" s="1"/>
  <c r="AK43" i="8" s="1"/>
  <c r="AL43" i="8" s="1"/>
  <c r="AM43" i="8" s="1"/>
  <c r="AJ34" i="8"/>
  <c r="AK34" i="8" s="1"/>
  <c r="AL34" i="8" s="1"/>
  <c r="AM34" i="8" s="1"/>
  <c r="F24" i="2"/>
  <c r="F48" i="2" s="1"/>
  <c r="M48" i="2" s="1"/>
  <c r="M24" i="2"/>
  <c r="F78" i="2"/>
  <c r="F115" i="2"/>
  <c r="M12" i="2"/>
  <c r="F14" i="2"/>
  <c r="F39" i="2" s="1"/>
  <c r="M39" i="2" s="1"/>
  <c r="F17" i="2" l="1"/>
  <c r="M14" i="2"/>
  <c r="F41" i="2" l="1"/>
  <c r="M41" i="2" s="1"/>
  <c r="M17" i="2"/>
  <c r="F21" i="2"/>
  <c r="F45" i="2" s="1"/>
  <c r="M45" i="2" s="1"/>
  <c r="M21" i="2" l="1"/>
  <c r="E16" i="5" l="1"/>
  <c r="E15" i="5"/>
  <c r="E14" i="5"/>
  <c r="E12" i="5"/>
  <c r="E10" i="5"/>
  <c r="E17" i="5" s="1"/>
  <c r="I169" i="1"/>
  <c r="I155" i="1"/>
  <c r="S155" i="1" s="1"/>
  <c r="S156" i="1" s="1"/>
  <c r="S159" i="1" s="1"/>
  <c r="S161" i="1" s="1"/>
  <c r="S181" i="1" s="1"/>
  <c r="S184" i="1" s="1"/>
  <c r="I54" i="1"/>
  <c r="I45" i="1"/>
  <c r="I156" i="1" l="1"/>
  <c r="I159" i="1" s="1"/>
  <c r="I161" i="1" s="1"/>
  <c r="I181" i="1" s="1"/>
  <c r="I184" i="1" s="1"/>
  <c r="I34" i="1"/>
  <c r="I33" i="1" s="1"/>
  <c r="I19" i="1"/>
  <c r="I6" i="1"/>
  <c r="I78" i="1" l="1"/>
  <c r="I80" i="1" l="1"/>
  <c r="S78" i="1"/>
  <c r="L42" i="2"/>
  <c r="E24" i="5"/>
  <c r="E18" i="5"/>
  <c r="E23" i="5"/>
  <c r="E22" i="5"/>
  <c r="E21" i="5"/>
  <c r="E20" i="5"/>
  <c r="E13" i="5"/>
  <c r="E19" i="5"/>
  <c r="F10" i="5"/>
  <c r="F17" i="5" s="1"/>
  <c r="F12" i="5"/>
  <c r="F13" i="5"/>
  <c r="F16" i="5"/>
  <c r="H16" i="5" s="1"/>
  <c r="F15" i="5"/>
  <c r="H15" i="5"/>
  <c r="F14" i="5"/>
  <c r="H14" i="5"/>
  <c r="H13" i="5"/>
  <c r="E11" i="5"/>
  <c r="H9" i="5"/>
  <c r="S33" i="1"/>
  <c r="S54" i="1"/>
  <c r="S45" i="1"/>
  <c r="S19" i="1"/>
  <c r="S6" i="1"/>
  <c r="S8" i="1"/>
  <c r="S9" i="1"/>
  <c r="S10" i="1"/>
  <c r="S11" i="1"/>
  <c r="S12" i="1"/>
  <c r="S14" i="1"/>
  <c r="S15" i="1"/>
  <c r="S16" i="1"/>
  <c r="S17" i="1"/>
  <c r="S20" i="1"/>
  <c r="S21" i="1"/>
  <c r="S22" i="1"/>
  <c r="S24" i="1"/>
  <c r="S25" i="1"/>
  <c r="S26" i="1"/>
  <c r="S27" i="1"/>
  <c r="S29" i="1"/>
  <c r="S35" i="1"/>
  <c r="S36" i="1"/>
  <c r="S38" i="1"/>
  <c r="S39" i="1"/>
  <c r="S40" i="1"/>
  <c r="S41" i="1"/>
  <c r="S42" i="1"/>
  <c r="S43" i="1"/>
  <c r="S46" i="1"/>
  <c r="S47" i="1"/>
  <c r="S48" i="1"/>
  <c r="S49" i="1"/>
  <c r="S50" i="1"/>
  <c r="S51" i="1"/>
  <c r="S52" i="1"/>
  <c r="S55" i="1"/>
  <c r="S56" i="1"/>
  <c r="S58" i="1"/>
  <c r="S59" i="1"/>
  <c r="S60" i="1"/>
  <c r="S61" i="1"/>
  <c r="S62" i="1"/>
  <c r="I64" i="1"/>
  <c r="I31" i="1"/>
  <c r="I83" i="1" l="1"/>
  <c r="S80" i="1"/>
  <c r="L46" i="2"/>
  <c r="I66" i="1"/>
  <c r="E25" i="5"/>
  <c r="H12" i="5"/>
  <c r="H10" i="5"/>
  <c r="S34" i="1"/>
  <c r="G16" i="5"/>
  <c r="F23" i="5"/>
  <c r="H23" i="5" s="1"/>
  <c r="G15" i="5"/>
  <c r="G14" i="5"/>
  <c r="G13" i="5"/>
  <c r="G12" i="5"/>
  <c r="G10" i="5"/>
  <c r="G17" i="5" s="1"/>
  <c r="G24" i="5" s="1"/>
  <c r="G9" i="5"/>
  <c r="F8" i="5"/>
  <c r="H8" i="5" s="1"/>
  <c r="G8" i="5"/>
  <c r="F7" i="5"/>
  <c r="G7" i="5"/>
  <c r="G21" i="5" s="1"/>
  <c r="G6" i="5"/>
  <c r="F6" i="5"/>
  <c r="H6" i="5" s="1"/>
  <c r="G5" i="5"/>
  <c r="F5" i="5"/>
  <c r="H5" i="5" s="1"/>
  <c r="H17" i="5"/>
  <c r="P183" i="1"/>
  <c r="O183" i="1"/>
  <c r="N183" i="1"/>
  <c r="P182" i="1"/>
  <c r="O182" i="1"/>
  <c r="N182" i="1"/>
  <c r="P179" i="1"/>
  <c r="O179" i="1"/>
  <c r="N179" i="1"/>
  <c r="P178" i="1"/>
  <c r="O178" i="1"/>
  <c r="N178" i="1"/>
  <c r="P177" i="1"/>
  <c r="O177" i="1"/>
  <c r="N177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68" i="1"/>
  <c r="O168" i="1"/>
  <c r="N168" i="1"/>
  <c r="P167" i="1"/>
  <c r="O167" i="1"/>
  <c r="N167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0" i="1"/>
  <c r="O160" i="1"/>
  <c r="N160" i="1"/>
  <c r="P158" i="1"/>
  <c r="O158" i="1"/>
  <c r="N158" i="1"/>
  <c r="P157" i="1"/>
  <c r="O157" i="1"/>
  <c r="N157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8" i="1"/>
  <c r="O148" i="1"/>
  <c r="N148" i="1"/>
  <c r="N131" i="1"/>
  <c r="O131" i="1"/>
  <c r="P131" i="1"/>
  <c r="N132" i="1"/>
  <c r="O132" i="1"/>
  <c r="P132" i="1"/>
  <c r="N133" i="1"/>
  <c r="O133" i="1"/>
  <c r="P133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1" i="1"/>
  <c r="O141" i="1"/>
  <c r="P141" i="1"/>
  <c r="N142" i="1"/>
  <c r="O142" i="1"/>
  <c r="P142" i="1"/>
  <c r="O130" i="1"/>
  <c r="P130" i="1"/>
  <c r="N130" i="1"/>
  <c r="H155" i="1"/>
  <c r="R155" i="1" s="1"/>
  <c r="R156" i="1" s="1"/>
  <c r="R159" i="1" s="1"/>
  <c r="R161" i="1" s="1"/>
  <c r="R181" i="1" s="1"/>
  <c r="R184" i="1" s="1"/>
  <c r="G155" i="1"/>
  <c r="Q155" i="1" s="1"/>
  <c r="D180" i="1"/>
  <c r="E180" i="1"/>
  <c r="F180" i="1"/>
  <c r="D169" i="1"/>
  <c r="E169" i="1"/>
  <c r="F169" i="1"/>
  <c r="D156" i="1"/>
  <c r="D159" i="1" s="1"/>
  <c r="D161" i="1" s="1"/>
  <c r="E156" i="1"/>
  <c r="E159" i="1" s="1"/>
  <c r="E161" i="1" s="1"/>
  <c r="F156" i="1"/>
  <c r="F159" i="1" s="1"/>
  <c r="F161" i="1" s="1"/>
  <c r="H169" i="1"/>
  <c r="G169" i="1"/>
  <c r="K92" i="2"/>
  <c r="K87" i="2"/>
  <c r="K76" i="2"/>
  <c r="K109" i="2"/>
  <c r="K113" i="2"/>
  <c r="K112" i="2"/>
  <c r="K111" i="2"/>
  <c r="K110" i="2"/>
  <c r="K107" i="2"/>
  <c r="K106" i="2"/>
  <c r="K103" i="2"/>
  <c r="K102" i="2"/>
  <c r="K101" i="2"/>
  <c r="K100" i="2"/>
  <c r="K99" i="2"/>
  <c r="K98" i="2"/>
  <c r="K97" i="2"/>
  <c r="K94" i="2"/>
  <c r="K91" i="2"/>
  <c r="K90" i="2"/>
  <c r="K89" i="2"/>
  <c r="K88" i="2"/>
  <c r="K86" i="2"/>
  <c r="K74" i="2"/>
  <c r="K73" i="2"/>
  <c r="K72" i="2"/>
  <c r="K71" i="2"/>
  <c r="K70" i="2"/>
  <c r="K69" i="2"/>
  <c r="K68" i="2"/>
  <c r="K65" i="2"/>
  <c r="K64" i="2"/>
  <c r="K63" i="2"/>
  <c r="K60" i="2"/>
  <c r="K59" i="2"/>
  <c r="K58" i="2"/>
  <c r="K57" i="2"/>
  <c r="K56" i="2"/>
  <c r="K55" i="2"/>
  <c r="L109" i="2"/>
  <c r="L113" i="2"/>
  <c r="L112" i="2"/>
  <c r="L111" i="2"/>
  <c r="L110" i="2"/>
  <c r="L107" i="2"/>
  <c r="L106" i="2"/>
  <c r="L103" i="2"/>
  <c r="L102" i="2"/>
  <c r="L101" i="2"/>
  <c r="L100" i="2"/>
  <c r="L99" i="2"/>
  <c r="L98" i="2"/>
  <c r="L97" i="2"/>
  <c r="L94" i="2"/>
  <c r="L92" i="2"/>
  <c r="L91" i="2"/>
  <c r="L90" i="2"/>
  <c r="L89" i="2"/>
  <c r="L88" i="2"/>
  <c r="L87" i="2"/>
  <c r="L86" i="2"/>
  <c r="L76" i="2"/>
  <c r="L74" i="2"/>
  <c r="L73" i="2"/>
  <c r="L72" i="2"/>
  <c r="L71" i="2"/>
  <c r="L70" i="2"/>
  <c r="L69" i="2"/>
  <c r="L68" i="2"/>
  <c r="L56" i="2"/>
  <c r="L57" i="2"/>
  <c r="L58" i="2"/>
  <c r="L59" i="2"/>
  <c r="L60" i="2"/>
  <c r="L63" i="2"/>
  <c r="L64" i="2"/>
  <c r="L65" i="2"/>
  <c r="L55" i="2"/>
  <c r="D54" i="2"/>
  <c r="D67" i="2"/>
  <c r="D105" i="2"/>
  <c r="D96" i="2"/>
  <c r="D85" i="2"/>
  <c r="D84" i="2" s="1"/>
  <c r="L5" i="2"/>
  <c r="L6" i="2"/>
  <c r="L7" i="2"/>
  <c r="L8" i="2"/>
  <c r="L9" i="2"/>
  <c r="L10" i="2"/>
  <c r="L13" i="2"/>
  <c r="L15" i="2"/>
  <c r="L18" i="2"/>
  <c r="L19" i="2"/>
  <c r="L20" i="2"/>
  <c r="L22" i="2"/>
  <c r="L23" i="2"/>
  <c r="K6" i="2"/>
  <c r="K7" i="2"/>
  <c r="K8" i="2"/>
  <c r="K9" i="2"/>
  <c r="K10" i="2"/>
  <c r="K13" i="2"/>
  <c r="K15" i="2"/>
  <c r="K18" i="2"/>
  <c r="K19" i="2"/>
  <c r="K20" i="2"/>
  <c r="K22" i="2"/>
  <c r="K23" i="2"/>
  <c r="K5" i="2"/>
  <c r="E105" i="2"/>
  <c r="E96" i="2"/>
  <c r="E85" i="2"/>
  <c r="E84" i="2" s="1"/>
  <c r="E67" i="2"/>
  <c r="E54" i="2"/>
  <c r="D12" i="2"/>
  <c r="P122" i="1"/>
  <c r="O122" i="1"/>
  <c r="N122" i="1"/>
  <c r="M122" i="1"/>
  <c r="N120" i="1"/>
  <c r="O120" i="1"/>
  <c r="P120" i="1"/>
  <c r="N121" i="1"/>
  <c r="O121" i="1"/>
  <c r="P121" i="1"/>
  <c r="M121" i="1"/>
  <c r="M120" i="1"/>
  <c r="M98" i="1"/>
  <c r="N98" i="1"/>
  <c r="O98" i="1"/>
  <c r="M100" i="1"/>
  <c r="N100" i="1"/>
  <c r="O100" i="1"/>
  <c r="M101" i="1"/>
  <c r="N101" i="1"/>
  <c r="O101" i="1"/>
  <c r="M102" i="1"/>
  <c r="N102" i="1"/>
  <c r="O102" i="1"/>
  <c r="M104" i="1"/>
  <c r="N104" i="1"/>
  <c r="O104" i="1"/>
  <c r="N105" i="1"/>
  <c r="O105" i="1"/>
  <c r="M107" i="1"/>
  <c r="N107" i="1"/>
  <c r="O107" i="1"/>
  <c r="M109" i="1"/>
  <c r="N109" i="1"/>
  <c r="O109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7" i="1"/>
  <c r="N117" i="1"/>
  <c r="O117" i="1"/>
  <c r="M118" i="1"/>
  <c r="N118" i="1"/>
  <c r="O118" i="1"/>
  <c r="N97" i="1"/>
  <c r="O97" i="1"/>
  <c r="M97" i="1"/>
  <c r="G78" i="1"/>
  <c r="G106" i="1"/>
  <c r="P106" i="1" s="1"/>
  <c r="E106" i="1"/>
  <c r="N106" i="1" s="1"/>
  <c r="F106" i="1"/>
  <c r="O106" i="1" s="1"/>
  <c r="E12" i="2"/>
  <c r="H78" i="1"/>
  <c r="R78" i="1" s="1"/>
  <c r="D105" i="1"/>
  <c r="M105" i="1" s="1"/>
  <c r="G99" i="1"/>
  <c r="P99" i="1" s="1"/>
  <c r="F99" i="1"/>
  <c r="F103" i="1" s="1"/>
  <c r="E99" i="1"/>
  <c r="N99" i="1" s="1"/>
  <c r="D99" i="1"/>
  <c r="R62" i="1"/>
  <c r="Q62" i="1"/>
  <c r="O62" i="1"/>
  <c r="N62" i="1"/>
  <c r="R61" i="1"/>
  <c r="Q61" i="1"/>
  <c r="O61" i="1"/>
  <c r="N61" i="1"/>
  <c r="R60" i="1"/>
  <c r="Q60" i="1"/>
  <c r="O60" i="1"/>
  <c r="N60" i="1"/>
  <c r="R59" i="1"/>
  <c r="Q59" i="1"/>
  <c r="O59" i="1"/>
  <c r="N59" i="1"/>
  <c r="R58" i="1"/>
  <c r="Q58" i="1"/>
  <c r="O58" i="1"/>
  <c r="N58" i="1"/>
  <c r="R56" i="1"/>
  <c r="Q56" i="1"/>
  <c r="O56" i="1"/>
  <c r="N56" i="1"/>
  <c r="R55" i="1"/>
  <c r="Q55" i="1"/>
  <c r="O55" i="1"/>
  <c r="N55" i="1"/>
  <c r="R52" i="1"/>
  <c r="Q52" i="1"/>
  <c r="O52" i="1"/>
  <c r="N52" i="1"/>
  <c r="R51" i="1"/>
  <c r="Q51" i="1"/>
  <c r="O51" i="1"/>
  <c r="N51" i="1"/>
  <c r="R50" i="1"/>
  <c r="Q50" i="1"/>
  <c r="O50" i="1"/>
  <c r="N50" i="1"/>
  <c r="R49" i="1"/>
  <c r="Q49" i="1"/>
  <c r="O49" i="1"/>
  <c r="N49" i="1"/>
  <c r="R48" i="1"/>
  <c r="Q48" i="1"/>
  <c r="O48" i="1"/>
  <c r="N48" i="1"/>
  <c r="R47" i="1"/>
  <c r="Q47" i="1"/>
  <c r="O47" i="1"/>
  <c r="N47" i="1"/>
  <c r="R46" i="1"/>
  <c r="Q46" i="1"/>
  <c r="O46" i="1"/>
  <c r="N46" i="1"/>
  <c r="R43" i="1"/>
  <c r="Q43" i="1"/>
  <c r="O43" i="1"/>
  <c r="N43" i="1"/>
  <c r="R42" i="1"/>
  <c r="Q42" i="1"/>
  <c r="O42" i="1"/>
  <c r="N42" i="1"/>
  <c r="R41" i="1"/>
  <c r="Q41" i="1"/>
  <c r="O41" i="1"/>
  <c r="N41" i="1"/>
  <c r="R40" i="1"/>
  <c r="Q40" i="1"/>
  <c r="O40" i="1"/>
  <c r="N40" i="1"/>
  <c r="R39" i="1"/>
  <c r="Q39" i="1"/>
  <c r="O39" i="1"/>
  <c r="N39" i="1"/>
  <c r="R38" i="1"/>
  <c r="Q38" i="1"/>
  <c r="O38" i="1"/>
  <c r="N38" i="1"/>
  <c r="R36" i="1"/>
  <c r="Q36" i="1"/>
  <c r="O36" i="1"/>
  <c r="N36" i="1"/>
  <c r="R35" i="1"/>
  <c r="Q35" i="1"/>
  <c r="O35" i="1"/>
  <c r="N35" i="1"/>
  <c r="R29" i="1"/>
  <c r="Q29" i="1"/>
  <c r="O29" i="1"/>
  <c r="N29" i="1"/>
  <c r="R27" i="1"/>
  <c r="Q27" i="1"/>
  <c r="O27" i="1"/>
  <c r="N27" i="1"/>
  <c r="R26" i="1"/>
  <c r="Q26" i="1"/>
  <c r="O26" i="1"/>
  <c r="N26" i="1"/>
  <c r="R25" i="1"/>
  <c r="Q25" i="1"/>
  <c r="O25" i="1"/>
  <c r="N25" i="1"/>
  <c r="R24" i="1"/>
  <c r="Q24" i="1"/>
  <c r="O24" i="1"/>
  <c r="N24" i="1"/>
  <c r="R22" i="1"/>
  <c r="Q22" i="1"/>
  <c r="O22" i="1"/>
  <c r="N22" i="1"/>
  <c r="R21" i="1"/>
  <c r="Q21" i="1"/>
  <c r="O21" i="1"/>
  <c r="N21" i="1"/>
  <c r="R20" i="1"/>
  <c r="Q20" i="1"/>
  <c r="O20" i="1"/>
  <c r="N20" i="1"/>
  <c r="O7" i="1"/>
  <c r="Q7" i="1"/>
  <c r="R7" i="1"/>
  <c r="O8" i="1"/>
  <c r="Q8" i="1"/>
  <c r="R8" i="1"/>
  <c r="O9" i="1"/>
  <c r="Q9" i="1"/>
  <c r="R9" i="1"/>
  <c r="O10" i="1"/>
  <c r="Q10" i="1"/>
  <c r="R10" i="1"/>
  <c r="O11" i="1"/>
  <c r="Q11" i="1"/>
  <c r="R11" i="1"/>
  <c r="O12" i="1"/>
  <c r="Q12" i="1"/>
  <c r="R12" i="1"/>
  <c r="O14" i="1"/>
  <c r="Q14" i="1"/>
  <c r="R14" i="1"/>
  <c r="O15" i="1"/>
  <c r="Q15" i="1"/>
  <c r="R15" i="1"/>
  <c r="O16" i="1"/>
  <c r="Q16" i="1"/>
  <c r="R16" i="1"/>
  <c r="O17" i="1"/>
  <c r="Q17" i="1"/>
  <c r="R17" i="1"/>
  <c r="N8" i="1"/>
  <c r="N9" i="1"/>
  <c r="N10" i="1"/>
  <c r="N11" i="1"/>
  <c r="N12" i="1"/>
  <c r="N14" i="1"/>
  <c r="N15" i="1"/>
  <c r="N16" i="1"/>
  <c r="N17" i="1"/>
  <c r="N7" i="1"/>
  <c r="D6" i="1"/>
  <c r="E6" i="1"/>
  <c r="F6" i="1"/>
  <c r="G6" i="1"/>
  <c r="D34" i="1"/>
  <c r="D33" i="1" s="1"/>
  <c r="E34" i="1"/>
  <c r="E33" i="1" s="1"/>
  <c r="F34" i="1"/>
  <c r="F33" i="1" s="1"/>
  <c r="G34" i="1"/>
  <c r="G33" i="1" s="1"/>
  <c r="D54" i="1"/>
  <c r="E54" i="1"/>
  <c r="F54" i="1"/>
  <c r="G54" i="1"/>
  <c r="D45" i="1"/>
  <c r="E45" i="1"/>
  <c r="F45" i="1"/>
  <c r="D19" i="1"/>
  <c r="E19" i="1"/>
  <c r="F19" i="1"/>
  <c r="H54" i="1"/>
  <c r="H45" i="1"/>
  <c r="G45" i="1"/>
  <c r="H34" i="1"/>
  <c r="H33" i="1" s="1"/>
  <c r="H19" i="1"/>
  <c r="G19" i="1"/>
  <c r="H6" i="1"/>
  <c r="G90" i="1" l="1"/>
  <c r="Q90" i="1" s="1"/>
  <c r="Q78" i="1"/>
  <c r="S83" i="1"/>
  <c r="I87" i="1"/>
  <c r="S87" i="1" s="1"/>
  <c r="F64" i="1"/>
  <c r="E31" i="1"/>
  <c r="F181" i="1"/>
  <c r="F184" i="1" s="1"/>
  <c r="N146" i="1"/>
  <c r="N156" i="1" s="1"/>
  <c r="N159" i="1" s="1"/>
  <c r="N161" i="1" s="1"/>
  <c r="Q146" i="1"/>
  <c r="Q156" i="1" s="1"/>
  <c r="Q159" i="1" s="1"/>
  <c r="Q161" i="1" s="1"/>
  <c r="P146" i="1"/>
  <c r="P156" i="1" s="1"/>
  <c r="P159" i="1" s="1"/>
  <c r="P161" i="1" s="1"/>
  <c r="O146" i="1"/>
  <c r="O156" i="1" s="1"/>
  <c r="O159" i="1" s="1"/>
  <c r="O161" i="1" s="1"/>
  <c r="D31" i="1"/>
  <c r="H31" i="1"/>
  <c r="G23" i="5"/>
  <c r="G22" i="5"/>
  <c r="L54" i="2"/>
  <c r="K67" i="2"/>
  <c r="G80" i="1"/>
  <c r="Q80" i="1" s="1"/>
  <c r="N169" i="1"/>
  <c r="N34" i="1"/>
  <c r="N33" i="1" s="1"/>
  <c r="O34" i="1"/>
  <c r="O33" i="1" s="1"/>
  <c r="R6" i="1"/>
  <c r="D37" i="2"/>
  <c r="K37" i="2" s="1"/>
  <c r="L12" i="2"/>
  <c r="E37" i="2"/>
  <c r="L37" i="2" s="1"/>
  <c r="L67" i="2"/>
  <c r="K54" i="2"/>
  <c r="G20" i="5"/>
  <c r="G11" i="5"/>
  <c r="E115" i="2"/>
  <c r="D115" i="2"/>
  <c r="L105" i="2"/>
  <c r="L85" i="2"/>
  <c r="L84" i="2" s="1"/>
  <c r="L96" i="2"/>
  <c r="K105" i="2"/>
  <c r="E14" i="2"/>
  <c r="E78" i="2"/>
  <c r="D78" i="2"/>
  <c r="K96" i="2"/>
  <c r="E24" i="2"/>
  <c r="O6" i="1"/>
  <c r="P54" i="1"/>
  <c r="Q54" i="1"/>
  <c r="R45" i="1"/>
  <c r="P45" i="1"/>
  <c r="Q34" i="1"/>
  <c r="Q33" i="1" s="1"/>
  <c r="F31" i="1"/>
  <c r="Q6" i="1"/>
  <c r="F21" i="5"/>
  <c r="H21" i="5" s="1"/>
  <c r="H7" i="5"/>
  <c r="G19" i="5"/>
  <c r="F22" i="5"/>
  <c r="H22" i="5" s="1"/>
  <c r="F11" i="5"/>
  <c r="H11" i="5" s="1"/>
  <c r="O19" i="1"/>
  <c r="R19" i="1"/>
  <c r="N45" i="1"/>
  <c r="F108" i="1"/>
  <c r="G83" i="1"/>
  <c r="O103" i="1"/>
  <c r="D181" i="1"/>
  <c r="D184" i="1" s="1"/>
  <c r="P19" i="1"/>
  <c r="N19" i="1"/>
  <c r="P34" i="1"/>
  <c r="P33" i="1" s="1"/>
  <c r="R34" i="1"/>
  <c r="R33" i="1" s="1"/>
  <c r="O45" i="1"/>
  <c r="O54" i="1"/>
  <c r="G31" i="1"/>
  <c r="G64" i="1"/>
  <c r="N54" i="1"/>
  <c r="R54" i="1"/>
  <c r="E103" i="1"/>
  <c r="O99" i="1"/>
  <c r="S64" i="1"/>
  <c r="H64" i="1"/>
  <c r="H66" i="1" s="1"/>
  <c r="N6" i="1"/>
  <c r="P6" i="1"/>
  <c r="D64" i="1"/>
  <c r="D106" i="1"/>
  <c r="M106" i="1" s="1"/>
  <c r="G156" i="1"/>
  <c r="G159" i="1" s="1"/>
  <c r="G161" i="1" s="1"/>
  <c r="G181" i="1" s="1"/>
  <c r="G184" i="1" s="1"/>
  <c r="E181" i="1"/>
  <c r="E184" i="1" s="1"/>
  <c r="P169" i="1"/>
  <c r="S31" i="1"/>
  <c r="K12" i="2"/>
  <c r="D14" i="2"/>
  <c r="D24" i="2"/>
  <c r="D103" i="1"/>
  <c r="M99" i="1"/>
  <c r="O169" i="1"/>
  <c r="G103" i="1"/>
  <c r="P103" i="1" s="1"/>
  <c r="E64" i="1"/>
  <c r="Q19" i="1"/>
  <c r="Q45" i="1"/>
  <c r="H80" i="1"/>
  <c r="R80" i="1" s="1"/>
  <c r="H90" i="1"/>
  <c r="R90" i="1" s="1"/>
  <c r="K85" i="2"/>
  <c r="K84" i="2" s="1"/>
  <c r="Q169" i="1"/>
  <c r="H156" i="1"/>
  <c r="H159" i="1" s="1"/>
  <c r="H161" i="1" s="1"/>
  <c r="H181" i="1" s="1"/>
  <c r="H184" i="1" s="1"/>
  <c r="F18" i="5"/>
  <c r="H18" i="5" s="1"/>
  <c r="G18" i="5"/>
  <c r="F24" i="5"/>
  <c r="F19" i="5"/>
  <c r="H19" i="5" s="1"/>
  <c r="F20" i="5"/>
  <c r="H20" i="5" s="1"/>
  <c r="E66" i="1" l="1"/>
  <c r="G87" i="1"/>
  <c r="Q87" i="1" s="1"/>
  <c r="Q83" i="1"/>
  <c r="F66" i="1"/>
  <c r="D66" i="1"/>
  <c r="K78" i="2"/>
  <c r="P181" i="1"/>
  <c r="P184" i="1" s="1"/>
  <c r="L78" i="2"/>
  <c r="N181" i="1"/>
  <c r="N184" i="1" s="1"/>
  <c r="G25" i="5"/>
  <c r="E48" i="2"/>
  <c r="L48" i="2" s="1"/>
  <c r="D48" i="2"/>
  <c r="K48" i="2" s="1"/>
  <c r="D39" i="2"/>
  <c r="K39" i="2" s="1"/>
  <c r="Q31" i="1"/>
  <c r="P64" i="1"/>
  <c r="R31" i="1"/>
  <c r="O31" i="1"/>
  <c r="L14" i="2"/>
  <c r="E39" i="2"/>
  <c r="L39" i="2" s="1"/>
  <c r="L24" i="2"/>
  <c r="K24" i="2"/>
  <c r="K115" i="2"/>
  <c r="E17" i="2"/>
  <c r="L115" i="2"/>
  <c r="N64" i="1"/>
  <c r="P31" i="1"/>
  <c r="N31" i="1"/>
  <c r="O64" i="1"/>
  <c r="Q64" i="1"/>
  <c r="R64" i="1"/>
  <c r="N103" i="1"/>
  <c r="E108" i="1"/>
  <c r="G66" i="1"/>
  <c r="O181" i="1"/>
  <c r="O184" i="1" s="1"/>
  <c r="O108" i="1"/>
  <c r="F110" i="1"/>
  <c r="R66" i="1"/>
  <c r="Q181" i="1"/>
  <c r="Q184" i="1" s="1"/>
  <c r="K14" i="2"/>
  <c r="D17" i="2"/>
  <c r="K17" i="2" s="1"/>
  <c r="F25" i="5"/>
  <c r="H25" i="5" s="1"/>
  <c r="H83" i="1"/>
  <c r="R83" i="1" s="1"/>
  <c r="G108" i="1"/>
  <c r="P108" i="1" s="1"/>
  <c r="M103" i="1"/>
  <c r="D108" i="1"/>
  <c r="Q66" i="1" l="1"/>
  <c r="E41" i="2"/>
  <c r="L41" i="2" s="1"/>
  <c r="L17" i="2"/>
  <c r="D41" i="2"/>
  <c r="K41" i="2" s="1"/>
  <c r="P66" i="1"/>
  <c r="M66" i="1"/>
  <c r="O66" i="1"/>
  <c r="N66" i="1"/>
  <c r="K42" i="2"/>
  <c r="E21" i="2"/>
  <c r="E45" i="2" s="1"/>
  <c r="F116" i="1"/>
  <c r="O116" i="1" s="1"/>
  <c r="O110" i="1"/>
  <c r="E110" i="1"/>
  <c r="N108" i="1"/>
  <c r="M108" i="1"/>
  <c r="D110" i="1"/>
  <c r="D21" i="2"/>
  <c r="H87" i="1"/>
  <c r="G110" i="1"/>
  <c r="P110" i="1" s="1"/>
  <c r="D45" i="2" l="1"/>
  <c r="R87" i="1"/>
  <c r="K46" i="2"/>
  <c r="K21" i="2"/>
  <c r="K45" i="2"/>
  <c r="L21" i="2"/>
  <c r="L45" i="2"/>
  <c r="N110" i="1"/>
  <c r="E116" i="1"/>
  <c r="N116" i="1" s="1"/>
  <c r="G116" i="1"/>
  <c r="P116" i="1" s="1"/>
  <c r="M110" i="1"/>
  <c r="D116" i="1"/>
  <c r="M1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Szécsi Balázs</author>
  </authors>
  <commentList>
    <comment ref="I52" authorId="0" shapeId="0" xr:uid="{DB273A8F-B1A5-416A-9DC1-C21A168D9BD6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Zugló: vételár fizetési kötelem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Szécsi Balázs</author>
  </authors>
  <commentList>
    <comment ref="H41" authorId="0" shapeId="0" xr:uid="{CFEB958E-C42B-4EAF-AC0F-8280C7E46B4D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3 hónap van csak KÁT-ban, a többi a piaci alapúban</t>
        </r>
      </text>
    </comment>
    <comment ref="B50" authorId="0" shapeId="0" xr:uid="{2F891499-9612-4837-AB33-3443804A3380}">
      <text>
        <r>
          <rPr>
            <b/>
            <sz val="9"/>
            <color indexed="81"/>
            <rFont val="Tahoma"/>
            <family val="2"/>
            <charset val="238"/>
          </rPr>
          <t>Szécsi Balázs:</t>
        </r>
        <r>
          <rPr>
            <sz val="9"/>
            <color indexed="81"/>
            <rFont val="Tahoma"/>
            <family val="2"/>
            <charset val="238"/>
          </rPr>
          <t xml:space="preserve">
nem konszolidálódik, az ALTEO csak üzemeltet</t>
        </r>
      </text>
    </comment>
  </commentList>
</comments>
</file>

<file path=xl/sharedStrings.xml><?xml version="1.0" encoding="utf-8"?>
<sst xmlns="http://schemas.openxmlformats.org/spreadsheetml/2006/main" count="1447" uniqueCount="474">
  <si>
    <t>Mérleg</t>
  </si>
  <si>
    <t>Balance sheet</t>
  </si>
  <si>
    <t>'000 HUF</t>
  </si>
  <si>
    <t>FY</t>
  </si>
  <si>
    <t>Befektetett eszközök</t>
  </si>
  <si>
    <t>Fixed assets</t>
  </si>
  <si>
    <t>Erőművek és energiatermelő ingatlanok, gépek és berendezések</t>
  </si>
  <si>
    <t>Power plant and relatd equipments</t>
  </si>
  <si>
    <t>Egyéb gépek, felszerelések és berendezések</t>
  </si>
  <si>
    <t>Other equipment</t>
  </si>
  <si>
    <t>Nettó befektetés lízingbe</t>
  </si>
  <si>
    <t>Net investment into leased assets</t>
  </si>
  <si>
    <t>-</t>
  </si>
  <si>
    <t>Kibocsátási jogok</t>
  </si>
  <si>
    <t>Emission rights</t>
  </si>
  <si>
    <t>Egyéb immateriális eszközök</t>
  </si>
  <si>
    <t>Other intangible assets</t>
  </si>
  <si>
    <t>Üzemeltetési szerződések</t>
  </si>
  <si>
    <t>Operational contracts</t>
  </si>
  <si>
    <t>Goodwill</t>
  </si>
  <si>
    <t>--</t>
  </si>
  <si>
    <t>Halasztott adó eszközök</t>
  </si>
  <si>
    <t>Deferred tax assets</t>
  </si>
  <si>
    <t>Tartósan adott kölcsön</t>
  </si>
  <si>
    <t>Long term loans</t>
  </si>
  <si>
    <t>Tartós részesedés kapcsolt vállalkozásban</t>
  </si>
  <si>
    <t>Forgóeszközök</t>
  </si>
  <si>
    <t>Current assets</t>
  </si>
  <si>
    <t>Készletek</t>
  </si>
  <si>
    <t>Invetories</t>
  </si>
  <si>
    <t>Vevőkövetelések</t>
  </si>
  <si>
    <t>Receivables</t>
  </si>
  <si>
    <t>Egyéb pénzügyi eszközök</t>
  </si>
  <si>
    <t>Other financial assets</t>
  </si>
  <si>
    <t>Egyéb követelések és időbeli elhatárolások</t>
  </si>
  <si>
    <t>Other receivables and accruals</t>
  </si>
  <si>
    <t>Nyereségadó követelések</t>
  </si>
  <si>
    <t>Corporate income tax receivables</t>
  </si>
  <si>
    <t>Pénzeszközök és egyenértékeseik</t>
  </si>
  <si>
    <t>Cash &amp; cash equivalents</t>
  </si>
  <si>
    <t>Értékesítési céllal tartott eszközök</t>
  </si>
  <si>
    <t>Assets held for sale</t>
  </si>
  <si>
    <t>ESZKÖZÖK ÖSSZESEN</t>
  </si>
  <si>
    <t>Total assets</t>
  </si>
  <si>
    <t>Saját tőke</t>
  </si>
  <si>
    <t xml:space="preserve">Equity  </t>
  </si>
  <si>
    <t>Anyavállalat tulajdonosaira jutó tőke</t>
  </si>
  <si>
    <t>Equity attributable to shareholders</t>
  </si>
  <si>
    <t>Jegyzett tőke</t>
  </si>
  <si>
    <t>Share capital</t>
  </si>
  <si>
    <t>Additional paid-in capital</t>
  </si>
  <si>
    <t>Részvény alapú kifizetések tartaléka</t>
  </si>
  <si>
    <t>Share based payment reserve</t>
  </si>
  <si>
    <t>Eredménytartalék</t>
  </si>
  <si>
    <t>Retained earnings</t>
  </si>
  <si>
    <t>Saját részvény miatti tulajdonosi tranzakció</t>
  </si>
  <si>
    <t>Adjustment due to treasury shares</t>
  </si>
  <si>
    <t>Cash flow hedge tartaléka</t>
  </si>
  <si>
    <t>Cash flow hedge reserves</t>
  </si>
  <si>
    <t>Átváltási különbözet</t>
  </si>
  <si>
    <t>Nem kontrolláló érdekeltség</t>
  </si>
  <si>
    <t>Minority interest</t>
  </si>
  <si>
    <t>Hosszú lejáratú kötelezettségek</t>
  </si>
  <si>
    <t>Long term liabilities</t>
  </si>
  <si>
    <t>Hosszú lejáratú hitelek és kölcsönök</t>
  </si>
  <si>
    <t>Tartozások kötvénykibocsátásból</t>
  </si>
  <si>
    <t>Issued bonds</t>
  </si>
  <si>
    <t>Pénzügyilízing-tartozások</t>
  </si>
  <si>
    <t>Financial leasing</t>
  </si>
  <si>
    <t>Halasztott adó kötelezettségek</t>
  </si>
  <si>
    <t>Deferred tax liabilities</t>
  </si>
  <si>
    <t>Céltartalékok</t>
  </si>
  <si>
    <t>Provisions</t>
  </si>
  <si>
    <t>Halasztott bevételek</t>
  </si>
  <si>
    <t>Deferred income</t>
  </si>
  <si>
    <t>Egyéb hosszú lejáratú kötelezettségek</t>
  </si>
  <si>
    <t>Other long term liabilities</t>
  </si>
  <si>
    <t>Rövid lejáratú kötelezettségek</t>
  </si>
  <si>
    <t>Short term liabilities</t>
  </si>
  <si>
    <t>Rövid lejáratú hitelek, kölcsönök</t>
  </si>
  <si>
    <t>Rövid lejáratú kötvénytartozások</t>
  </si>
  <si>
    <t>Szállítótartozások</t>
  </si>
  <si>
    <t>Payables</t>
  </si>
  <si>
    <t>Egyéb pénzügyi kötelezettségek</t>
  </si>
  <si>
    <t>Other financial liabilities</t>
  </si>
  <si>
    <t>Egyéb rövid lejáratú kötelezettségek és időbeli elhatárolások</t>
  </si>
  <si>
    <t>Other short term liabilities and deferrals</t>
  </si>
  <si>
    <t>Nyereségadó kötelezettségek</t>
  </si>
  <si>
    <t>Corporate income tax liabilities</t>
  </si>
  <si>
    <t>Vevői előlegek</t>
  </si>
  <si>
    <t>Advances from cutomers</t>
  </si>
  <si>
    <t>SAJÁT TŐKE és KÖTELEZETTSÉGEK ÖSSZESEN</t>
  </si>
  <si>
    <t>Total equity and liabilities</t>
  </si>
  <si>
    <t>M Ft-ban</t>
  </si>
  <si>
    <t xml:space="preserve"> M Ft-ban</t>
  </si>
  <si>
    <t>ezer EUR-ban</t>
  </si>
  <si>
    <t>Income Statement</t>
  </si>
  <si>
    <t>Árbevételek</t>
  </si>
  <si>
    <t>Net sales</t>
  </si>
  <si>
    <t>Közvetlen ráfordítások</t>
  </si>
  <si>
    <t>Direct costs</t>
  </si>
  <si>
    <t>Bruttó eredmény</t>
  </si>
  <si>
    <t>Gross profit</t>
  </si>
  <si>
    <t>Adminisztratív ráfordítások</t>
  </si>
  <si>
    <t>Administrative expenses</t>
  </si>
  <si>
    <t>Értékesítési ráfordítások</t>
  </si>
  <si>
    <t>Marketing expenses</t>
  </si>
  <si>
    <t>Egyéb bevételek/(ráfordítások)</t>
  </si>
  <si>
    <t>Other income &amp; expenses</t>
  </si>
  <si>
    <t>Üzemi eredmény</t>
  </si>
  <si>
    <t>Operating profit</t>
  </si>
  <si>
    <t>Pénzügyi bevételek</t>
  </si>
  <si>
    <t>Financial income</t>
  </si>
  <si>
    <t>Pénzügyi ráfordítások</t>
  </si>
  <si>
    <t>Financial expenses</t>
  </si>
  <si>
    <t>Pénzügyi ráfordítások, nettó</t>
  </si>
  <si>
    <t>Net financial costs</t>
  </si>
  <si>
    <t>Bevétel negatív goodwill elszámolásából</t>
  </si>
  <si>
    <t>Negative goodwill</t>
  </si>
  <si>
    <t>Adózás előtti eredmény</t>
  </si>
  <si>
    <t>Income before taxes</t>
  </si>
  <si>
    <t>Jövedelemadó ráfordítás</t>
  </si>
  <si>
    <t>Corporate income tax</t>
  </si>
  <si>
    <t>Nettó eredmény (folytatandó tevékenységekből)</t>
  </si>
  <si>
    <t>Net profit</t>
  </si>
  <si>
    <t>Ebből az anyavállalat tulajdonosait illeti:</t>
  </si>
  <si>
    <t>o/w profit attributable to equity holders</t>
  </si>
  <si>
    <t>Ebből a kisebbségi részesedést illeti:</t>
  </si>
  <si>
    <t>o/w minorty interests</t>
  </si>
  <si>
    <t>Egyéb átfogó eredmény (nyereségadó hatása után)</t>
  </si>
  <si>
    <t>Other comprehensive income</t>
  </si>
  <si>
    <t>Ebből nem kontrolláló érdekeltséget illeti:</t>
  </si>
  <si>
    <t>Átfogó eredmény (folytatandó tevékenységekből)</t>
  </si>
  <si>
    <t>Comprehensive income</t>
  </si>
  <si>
    <t>Ebből a nem kontrolláló érdekeltséget érinti:</t>
  </si>
  <si>
    <t>Egy részvényre jutó eredmény (Ft/részvény) alapértéke</t>
  </si>
  <si>
    <t>EPS</t>
  </si>
  <si>
    <t>Egy részvényre jutó eredmény (Ft/részvény) higított értéke</t>
  </si>
  <si>
    <t>EPS diluted</t>
  </si>
  <si>
    <t>EBITDA</t>
  </si>
  <si>
    <t>2018 H1</t>
  </si>
  <si>
    <t>Net Sales</t>
  </si>
  <si>
    <t>Material Costs</t>
  </si>
  <si>
    <t>Személyi jellegű ráfordítások</t>
  </si>
  <si>
    <t>Personal related costs</t>
  </si>
  <si>
    <t>Értékcsökkenés</t>
  </si>
  <si>
    <t>Depreciation</t>
  </si>
  <si>
    <t>Other income/(costs)</t>
  </si>
  <si>
    <t>Értékvesztés miatti veszteségek</t>
  </si>
  <si>
    <t>Amortization costs</t>
  </si>
  <si>
    <t>Működési Eredmény</t>
  </si>
  <si>
    <t>Operating Profit</t>
  </si>
  <si>
    <t>Pénzügyi bevételek/(ráfordítások)</t>
  </si>
  <si>
    <t>Net Financial profit/(loss)</t>
  </si>
  <si>
    <t>Earnings Before Tax</t>
  </si>
  <si>
    <t>Corporate tax expense</t>
  </si>
  <si>
    <t>Net Profit</t>
  </si>
  <si>
    <t>o/w to equity holders</t>
  </si>
  <si>
    <t>Ebből a nem kontrolláló érdekeltséget illeti:</t>
  </si>
  <si>
    <t>o/w to minority interests</t>
  </si>
  <si>
    <t>Egyéb átfogó eredmény</t>
  </si>
  <si>
    <t>Other Comprehensive Income</t>
  </si>
  <si>
    <t>Comprehensive Income</t>
  </si>
  <si>
    <t>EPS (átfogó nélkül)</t>
  </si>
  <si>
    <t>Higított EPS (átfogó nélkül)</t>
  </si>
  <si>
    <t>Millió Forint</t>
  </si>
  <si>
    <t>HUF Millions</t>
  </si>
  <si>
    <t>Éves átlagos EUR/HUF árfolyam</t>
  </si>
  <si>
    <t>2017 H1</t>
  </si>
  <si>
    <t>Anyagjellegű ráfordítások</t>
  </si>
  <si>
    <t>nem auditált</t>
  </si>
  <si>
    <t>Tartósan adott kölcsön és letétek</t>
  </si>
  <si>
    <t>Tartós részesedés társult vállalkozásban</t>
  </si>
  <si>
    <t>Forgóeszközök és értékesítési céllal tartott eszközök</t>
  </si>
  <si>
    <t>Anyavállalat tulajdonosaira jutó saját tőke</t>
  </si>
  <si>
    <t>Tulajdonosi tranzakciók</t>
  </si>
  <si>
    <t>Átváltási különbözetek</t>
  </si>
  <si>
    <t>Pénzügyi lízing tartozások</t>
  </si>
  <si>
    <t>Rövid lejáratú hitelek és kölcsönök</t>
  </si>
  <si>
    <t>Debentures</t>
  </si>
  <si>
    <t>Not audited</t>
  </si>
  <si>
    <t>félév végi</t>
  </si>
  <si>
    <t>Cash-flow</t>
  </si>
  <si>
    <t>Cash Flow Statement</t>
  </si>
  <si>
    <t>Kamatbevételek és kamatráfordítások (nettó)</t>
  </si>
  <si>
    <t>Interest income / expense</t>
  </si>
  <si>
    <t>Értékcsökkenési leírás</t>
  </si>
  <si>
    <t>Depreciation &amp; Amortisation</t>
  </si>
  <si>
    <t>Értékvesztések (kivéve nettó forgótőkéhez tartozó)</t>
  </si>
  <si>
    <t>Impairment</t>
  </si>
  <si>
    <t>Céltartalékok képzése és feloldása</t>
  </si>
  <si>
    <t>Leszerelési költségre képzett céltartalék változása (IAS 16)</t>
  </si>
  <si>
    <t>Provisions for decommission</t>
  </si>
  <si>
    <t>Halasztott bevételek változása</t>
  </si>
  <si>
    <t>Changes in deferred incomes</t>
  </si>
  <si>
    <t>Nem realizált árfolyamkülönbözet (kivéve nettó forgótőke)</t>
  </si>
  <si>
    <t>Non-realised FX gain / loss</t>
  </si>
  <si>
    <t>Negatív goodwill</t>
  </si>
  <si>
    <t>Részvény alapú kifizetés költsége</t>
  </si>
  <si>
    <t>Nettó forgótőke változása:</t>
  </si>
  <si>
    <t>Changes in net working capital</t>
  </si>
  <si>
    <t>Készletek változása</t>
  </si>
  <si>
    <t>Changes in inventories</t>
  </si>
  <si>
    <t>Vevők, egyéb pénzügyi eszközök, egyéb követelések és aktív időbeli elh.vált.</t>
  </si>
  <si>
    <t>Changes in receivables, other current assets and accruals</t>
  </si>
  <si>
    <t>Egyéb pénzügyi eszközök változása</t>
  </si>
  <si>
    <t>Changes in other financial assets</t>
  </si>
  <si>
    <t>Szállítói tartozások, egyéb kötelezettségek és passzív időbeli elh.változása</t>
  </si>
  <si>
    <t>Changes in payables, other liabilities and deferrals</t>
  </si>
  <si>
    <t>Egyéb pénzügyi kötelezettségek változása</t>
  </si>
  <si>
    <t>Changes in other financial liabilities</t>
  </si>
  <si>
    <t>Vevőktől kapott előlegek állományváltozása</t>
  </si>
  <si>
    <t>Changes in advances received from cutomers</t>
  </si>
  <si>
    <t>Nettó forgótőke változása</t>
  </si>
  <si>
    <t>Tárgyi eszközök értékesítésén elért eredmény</t>
  </si>
  <si>
    <t>Profit realised on sale of tangible assets</t>
  </si>
  <si>
    <t>Kifizetett kamatok</t>
  </si>
  <si>
    <t>Interest expenses</t>
  </si>
  <si>
    <t>Adózás előtti működési cash-flow</t>
  </si>
  <si>
    <t>Cash generated from operations before tax payment</t>
  </si>
  <si>
    <t>Kifizetett nyereségadó</t>
  </si>
  <si>
    <t>Corporate income tax paid</t>
  </si>
  <si>
    <t>Pénzkeletkezés / pénzfelhasználás működési tevékenységből</t>
  </si>
  <si>
    <t>Operating Cash Flow</t>
  </si>
  <si>
    <t>Betétek és befektetések kamatai</t>
  </si>
  <si>
    <t>Interests on deposits and investments</t>
  </si>
  <si>
    <t>Tárgyi és immateriális eszközök vásárlása</t>
  </si>
  <si>
    <t>Purchase of tangible and intangible assets</t>
  </si>
  <si>
    <t>Vállalkozások megszerzésére fordított összeg (nettó)</t>
  </si>
  <si>
    <t>Acquisitions (net amount)</t>
  </si>
  <si>
    <t>Tárgyi eszközök értékesítésének pénzbevétele</t>
  </si>
  <si>
    <t>Income on sale of tangible assets</t>
  </si>
  <si>
    <t>Tartósan adott kölcsön kisebbségi érdekeltségeknek - folyósítás</t>
  </si>
  <si>
    <t>Long term loans for minority interests - granting</t>
  </si>
  <si>
    <t>Tartósan adott kölcsön kisebbségi érdekeltségeknek - visszafizetés</t>
  </si>
  <si>
    <t>Long term loans for minority interests - repayment</t>
  </si>
  <si>
    <t>Pénzkeletkezés / pénzfelhasználás befektetési tevékenységből</t>
  </si>
  <si>
    <t>Investing Cash Flow</t>
  </si>
  <si>
    <t>Hosszú lejáratú hitelek és kölcsönök felvétele</t>
  </si>
  <si>
    <t>Hosszú lejáratú hitelek és kölcsönök visszafizetése</t>
  </si>
  <si>
    <t>Repayment of long term loans</t>
  </si>
  <si>
    <t>Kötvénykibocsátás bevétele</t>
  </si>
  <si>
    <t>Issuance of bonds</t>
  </si>
  <si>
    <t>Kötvények visszafizetése</t>
  </si>
  <si>
    <t>Repurchase of bonds</t>
  </si>
  <si>
    <t>Egyéb tulajdonosi tranzakciók</t>
  </si>
  <si>
    <t>Other shareholder's transactions</t>
  </si>
  <si>
    <t>Osztalékfizetés</t>
  </si>
  <si>
    <t>Kiosztás a nem kontrolláló érdekeltségeknek</t>
  </si>
  <si>
    <t>Allocation for minority interests</t>
  </si>
  <si>
    <t>Finanszírozás rövid távú kölcsönökkel, hitelekkel</t>
  </si>
  <si>
    <t>Changes in short term loans</t>
  </si>
  <si>
    <t>Pénzkeletkezés / pénzfelhasználás finanszírozási tevékenységből</t>
  </si>
  <si>
    <t>Financing Cash Flow</t>
  </si>
  <si>
    <t>Pénzeszközök állományváltozása</t>
  </si>
  <si>
    <t>Net Cash Flow</t>
  </si>
  <si>
    <t>Nyitó pénzeszközök és egyenértékesei</t>
  </si>
  <si>
    <t>Cash and cash equivalents at 1st January</t>
  </si>
  <si>
    <t>Átvátási különbozet pénzen</t>
  </si>
  <si>
    <t>Záró pénzeszközök és egyenértékesei</t>
  </si>
  <si>
    <t>Cash and cash equivalents at 31st December</t>
  </si>
  <si>
    <t>Változás</t>
  </si>
  <si>
    <t>management account</t>
  </si>
  <si>
    <t>Hő- és villamosenergia-termelés (KÁT rendszeren kívül)</t>
  </si>
  <si>
    <t>Villamosenergia-termelés
(KÁT rendszerben)</t>
  </si>
  <si>
    <t>Energetikai vállalkozás és szolgáltatások</t>
  </si>
  <si>
    <t>Energia kiskereskedelem</t>
  </si>
  <si>
    <t>Egyéb</t>
  </si>
  <si>
    <t>Szegmensek közötti kiszűrések</t>
  </si>
  <si>
    <t>Árbevétel</t>
  </si>
  <si>
    <t>Működési költségek</t>
  </si>
  <si>
    <t>  adatok  M Ft-ban </t>
  </si>
  <si>
    <t>Eredméynkimutatás</t>
  </si>
  <si>
    <t>EREDMÉNYKIMUTATÁS régi struktúra</t>
  </si>
  <si>
    <t>Energy production (market base)</t>
  </si>
  <si>
    <t>Energy production (feed-in tariff)</t>
  </si>
  <si>
    <t>Energy services</t>
  </si>
  <si>
    <t>Energy supply &amp;trading</t>
  </si>
  <si>
    <t>Other</t>
  </si>
  <si>
    <t>Ebből: Helyi iparűzési adó ráfordítás</t>
  </si>
  <si>
    <t>o/w local tax</t>
  </si>
  <si>
    <t>Profit and Loss Statement</t>
  </si>
  <si>
    <t>2019 H1</t>
  </si>
  <si>
    <t>Letétek, pénzügyi biztosítékok</t>
  </si>
  <si>
    <t>Használati jogok (Lízing eszközök)</t>
  </si>
  <si>
    <t>%
2018/2017</t>
  </si>
  <si>
    <t>Power plant and related equipments</t>
  </si>
  <si>
    <t>2017 H2</t>
  </si>
  <si>
    <t>2018 H2</t>
  </si>
  <si>
    <t>2019 H2</t>
  </si>
  <si>
    <t>EUR '000</t>
  </si>
  <si>
    <t>2017 Q1</t>
  </si>
  <si>
    <t>2018 Q2</t>
  </si>
  <si>
    <t>2017Q2</t>
  </si>
  <si>
    <t>2017 Q3</t>
  </si>
  <si>
    <t>2017Q4</t>
  </si>
  <si>
    <t>2018Q1</t>
  </si>
  <si>
    <t>2018 Q3</t>
  </si>
  <si>
    <t>2019 Q3</t>
  </si>
  <si>
    <t>2019 Q2</t>
  </si>
  <si>
    <t>2018 Q4</t>
  </si>
  <si>
    <t>2019 Q1</t>
  </si>
  <si>
    <t>Tőketartalék</t>
  </si>
  <si>
    <t>Leasing receivables (&lt; one year)</t>
  </si>
  <si>
    <t>Shares in related companies (long term)</t>
  </si>
  <si>
    <t>Conversion margin</t>
  </si>
  <si>
    <t>Cost of share-base</t>
  </si>
  <si>
    <t>Deposits, financial collaterals</t>
  </si>
  <si>
    <t>Utilization rights for leased assets</t>
  </si>
  <si>
    <t>P&amp;L</t>
  </si>
  <si>
    <t>Eredménykimutatás</t>
  </si>
  <si>
    <t>Lízingbe adott eszköz (rövid)</t>
  </si>
  <si>
    <t>Short term loans</t>
  </si>
  <si>
    <t>RV szám</t>
  </si>
  <si>
    <t>Higított RV szám</t>
  </si>
  <si>
    <t>negyedéves átlag árfolyam</t>
  </si>
  <si>
    <t>not audited</t>
  </si>
  <si>
    <t>2020 Q1</t>
  </si>
  <si>
    <t>2019 Q4</t>
  </si>
  <si>
    <t>2020 Q2</t>
  </si>
  <si>
    <t>HUF/EUR</t>
  </si>
  <si>
    <t>Villamosenergia-termelés</t>
  </si>
  <si>
    <t>Energy Production (feed-in-tariff)</t>
  </si>
  <si>
    <t>Revenues</t>
  </si>
  <si>
    <t>Operating cost</t>
  </si>
  <si>
    <t>millió Ft</t>
  </si>
  <si>
    <t>HUF million</t>
  </si>
  <si>
    <t>Hő- és villamos energia termelés (piaci)</t>
  </si>
  <si>
    <t>Energy Production (market base)</t>
  </si>
  <si>
    <t>Energy supply &amp; trading</t>
  </si>
  <si>
    <t>Szegmensek összesen kiszűrések nélkül</t>
  </si>
  <si>
    <t>Szegmensek összesen kiszűrésekkel</t>
  </si>
  <si>
    <t>Segments total with adjustments</t>
  </si>
  <si>
    <t>Segments total w/o adjustments</t>
  </si>
  <si>
    <t>ebből hitelek, kölcsönök, kötvények, lízing</t>
  </si>
  <si>
    <t>of which loans, bonds, leasing</t>
  </si>
  <si>
    <t>2019Q4</t>
  </si>
  <si>
    <t>%
2019/2018</t>
  </si>
  <si>
    <t>Rövid lejáratú pénzügyi lízing tartozások</t>
  </si>
  <si>
    <t>Leasing liabilities</t>
  </si>
  <si>
    <t>Tárgyi eszközök értékesítésén és kvóta visszaadásokon elért (nyereség), veszteség</t>
  </si>
  <si>
    <t>Halasztott adó változása</t>
  </si>
  <si>
    <t>Natural gas consumtion - GJ - power plants</t>
  </si>
  <si>
    <t>Felhasznált gáz - GJ-ban - Erőművek</t>
  </si>
  <si>
    <t>Sold energy - Energy supply and trading - MWh</t>
  </si>
  <si>
    <t>Értékesített energia - Energia kiskereskedelem - MWh</t>
  </si>
  <si>
    <t>Győr</t>
  </si>
  <si>
    <t>Electricity</t>
  </si>
  <si>
    <t>Villamos energia</t>
  </si>
  <si>
    <t>Sopron</t>
  </si>
  <si>
    <t>Natural gas</t>
  </si>
  <si>
    <t>Földgáz</t>
  </si>
  <si>
    <t>Kazincbarcika</t>
  </si>
  <si>
    <t>Total</t>
  </si>
  <si>
    <t>Összesen</t>
  </si>
  <si>
    <t>Ózd</t>
  </si>
  <si>
    <t>Tiszaújváros</t>
  </si>
  <si>
    <t>Zugló</t>
  </si>
  <si>
    <t>Agria Park</t>
  </si>
  <si>
    <t>Produced electricity - Market-based sales - MWh</t>
  </si>
  <si>
    <t>Termelt villamos energia - Erőművek - MWh</t>
  </si>
  <si>
    <t>Sold electricity - Virtual Power Plant - MWh</t>
  </si>
  <si>
    <t>Értékesített villamos energia - Nagykereskedelem - MWh</t>
  </si>
  <si>
    <t>Jánossomorja</t>
  </si>
  <si>
    <t>Ács</t>
  </si>
  <si>
    <t>Pápakovácsi</t>
  </si>
  <si>
    <t>Produced heat energy - power plants - GJ</t>
  </si>
  <si>
    <t>Termelt hőenergia - Erőművek - GJ</t>
  </si>
  <si>
    <t>Produced electricity - Feed-in tariff system - MWh</t>
  </si>
  <si>
    <t>Törökszentmiklós</t>
  </si>
  <si>
    <t>Debrecen 1</t>
  </si>
  <si>
    <t>Debrecen 2</t>
  </si>
  <si>
    <t>Kisújszállás</t>
  </si>
  <si>
    <t>Nyíregyháza</t>
  </si>
  <si>
    <t>Nagykőrös - Biogas</t>
  </si>
  <si>
    <t>Nagykőrös - Biogáz</t>
  </si>
  <si>
    <t>Felsődobsza</t>
  </si>
  <si>
    <t>Gibárt</t>
  </si>
  <si>
    <t>Domaszék</t>
  </si>
  <si>
    <t>Monor</t>
  </si>
  <si>
    <t>Renewable capacities - MW</t>
  </si>
  <si>
    <t>Megújuló kapacitások - MW</t>
  </si>
  <si>
    <t>Wind</t>
  </si>
  <si>
    <t>Szél</t>
  </si>
  <si>
    <t>Hydro</t>
  </si>
  <si>
    <t>Víz</t>
  </si>
  <si>
    <t>Solar</t>
  </si>
  <si>
    <t>Nap</t>
  </si>
  <si>
    <t>Biogas</t>
  </si>
  <si>
    <t>Biogáz</t>
  </si>
  <si>
    <t>Control Centre capacities - MW</t>
  </si>
  <si>
    <t>Szabályozó központ (saját tulajdonú) kapacitások- MW</t>
  </si>
  <si>
    <t>Gas engines</t>
  </si>
  <si>
    <t>Gázmotorok</t>
  </si>
  <si>
    <t>Batteries</t>
  </si>
  <si>
    <t>Akkumulátorok</t>
  </si>
  <si>
    <t>Renewables</t>
  </si>
  <si>
    <t>Megújuló</t>
  </si>
  <si>
    <t>Árbevétel külső</t>
  </si>
  <si>
    <t>Árbevétel (csoporton belül)</t>
  </si>
  <si>
    <t>Egyéb bevétel és Egyéb ráfordítás</t>
  </si>
  <si>
    <t>Villamosenergia-termelés
(Támogatott rendszerben)</t>
  </si>
  <si>
    <t>Hő- és villamosenergia-termelés (Támogatott rendszeren kívül)</t>
  </si>
  <si>
    <t>Balatonberény</t>
  </si>
  <si>
    <t>Nagykőrös - nap</t>
  </si>
  <si>
    <t>Nagykőrös - solar</t>
  </si>
  <si>
    <t>2020 H1</t>
  </si>
  <si>
    <t>2020 H2</t>
  </si>
  <si>
    <t>MÁSODIK FÉLÉVES TELJESÍTMÉNY</t>
  </si>
  <si>
    <t>2020 Q3</t>
  </si>
  <si>
    <t>Ebből: helyi iparűzési adó ráfordítás</t>
  </si>
  <si>
    <t>ouf of which is local tax</t>
  </si>
  <si>
    <t>Short term leasing liabilities</t>
  </si>
  <si>
    <t>Árbevétel (WAM csoporton belül)</t>
  </si>
  <si>
    <t>ebből ALTEO csoporton belüli villamos energia értékesítés</t>
  </si>
  <si>
    <t>Bőny</t>
  </si>
  <si>
    <t>Bábolna</t>
  </si>
  <si>
    <t>Transactions with the shareholders</t>
  </si>
  <si>
    <t>Capitalized value of own production</t>
  </si>
  <si>
    <t>Deferred tax changes</t>
  </si>
  <si>
    <t>Paid interests</t>
  </si>
  <si>
    <t>Paid corporate tax</t>
  </si>
  <si>
    <t xml:space="preserve">Termelő és egyéb berendezések selejtezése </t>
  </si>
  <si>
    <t>Egyéb átfogó eredmény árfolyam  hatása</t>
  </si>
  <si>
    <t>Effect of comrehensive income</t>
  </si>
  <si>
    <t>Lízing eszköz változása</t>
  </si>
  <si>
    <t>Changes in leasing assets</t>
  </si>
  <si>
    <t>Tőkeemelés, saját részvény vásárlás</t>
  </si>
  <si>
    <t>Capital increase, treasury shares purchases</t>
  </si>
  <si>
    <t>Dividend paid</t>
  </si>
  <si>
    <t>Energiatermelés (támogatott rendszeren kívül)</t>
  </si>
  <si>
    <t>Villamosenergia-termelés (Támogatott rendszerben)</t>
  </si>
  <si>
    <t>Energetikai szolgáltatások</t>
  </si>
  <si>
    <t>Energia-kereskedelem</t>
  </si>
  <si>
    <t>Konszolidációs kiszűrések</t>
  </si>
  <si>
    <t xml:space="preserve">Egyéb bevétel és Egyéb ráfordítás </t>
  </si>
  <si>
    <t>Aktivált saját teljesítmények értéke</t>
  </si>
  <si>
    <t>EBITDA*</t>
  </si>
  <si>
    <t>Aktivált saját teljesítmények</t>
  </si>
  <si>
    <t>2020 Q4</t>
  </si>
  <si>
    <t>auditált</t>
  </si>
  <si>
    <t>audited</t>
  </si>
  <si>
    <t>2020. év</t>
  </si>
  <si>
    <t>2019. év</t>
  </si>
  <si>
    <t>2021 Q1</t>
  </si>
  <si>
    <t>Ráosztott igazgatási költség</t>
  </si>
  <si>
    <t>EBITDA II</t>
  </si>
  <si>
    <t>Hő- és villamos energia termelés (piaci)- millió Ft</t>
  </si>
  <si>
    <t>ÚJ STRUKTÚRA</t>
  </si>
  <si>
    <t>Hő- és villamos energia termelés (piaci) - millió Ft</t>
  </si>
  <si>
    <t>Villamosenergia-termelés (támogatott rendszerben) - millió Ft</t>
  </si>
  <si>
    <t>Energetikai vállalkozás és szolgáltatások - millió Ft</t>
  </si>
  <si>
    <t>Energia kiskereskedelem - millió Ft</t>
  </si>
  <si>
    <t>Egyéb - millió Ft</t>
  </si>
  <si>
    <t>Heat and electricity production (market based) - HUF million</t>
  </si>
  <si>
    <t>Material-type expenditures</t>
  </si>
  <si>
    <t>Other revenues and expenditures</t>
  </si>
  <si>
    <t>Personnel Expenditures</t>
  </si>
  <si>
    <t>Allocated overhead costs</t>
  </si>
  <si>
    <t>Sales revenue</t>
  </si>
  <si>
    <t>Operating costs</t>
  </si>
  <si>
    <t>Electricity production (subsidised) - HUF million</t>
  </si>
  <si>
    <t>Energy services - HUF million</t>
  </si>
  <si>
    <t>Retail energy trade - HUF million</t>
  </si>
  <si>
    <t>Other segment - HUF million</t>
  </si>
  <si>
    <t>2021 H1</t>
  </si>
  <si>
    <t>20201.06.30</t>
  </si>
  <si>
    <t>2021 Q2</t>
  </si>
  <si>
    <t>2021 Q3</t>
  </si>
  <si>
    <t>2021 Q4</t>
  </si>
  <si>
    <t>2021 H2</t>
  </si>
  <si>
    <t>EUR thousands</t>
  </si>
  <si>
    <t>Kibocsátási jogok állományváltozása</t>
  </si>
  <si>
    <t>Changes in CO2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</si>
</sst>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#,##0.0_);\(#,##0.0\);\-\-_);@_)"/>
    <numFmt numFmtId="166" formatCode="#,##0_);\(#,##0\);\-\-_);@_)"/>
    <numFmt numFmtId="167" formatCode="#,##0_);\(#,##0\);&quot;-  &quot;;&quot; &quot;@"/>
    <numFmt numFmtId="168" formatCode="_-* #,##0_F_t_-;* \(#,##0\)_F_t_-;_-* &quot;-&quot;\ _F_t_-;_-@_-\ "/>
    <numFmt numFmtId="169" formatCode="#,##0.00_);\(#,##0.00\);&quot;-  &quot;;&quot; &quot;@"/>
    <numFmt numFmtId="170" formatCode="_-* #,##0\ _F_t_-;\-* #,##0\ _F_t_-;_-* &quot;-&quot;??\ _F_t_-;_-@_-"/>
    <numFmt numFmtId="171" formatCode="0.0%"/>
    <numFmt numFmtId="172" formatCode="#,##0.0"/>
    <numFmt numFmtId="173" formatCode="_(* #,##0_);_(* \(#,##0\);_(* &quot;-&quot;??_);_(@_)"/>
    <numFmt numFmtId="174" formatCode="_-* #,##0.00\ [$€-1]_-;\-* #,##0.00\ [$€-1]_-;_-* &quot;-&quot;??\ [$€-1]_-"/>
    <numFmt numFmtId="175" formatCode="yyyy/mm/dd;@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9"/>
      <color theme="0"/>
      <name val="Arial"/>
      <family val="2"/>
    </font>
    <font>
      <b/>
      <sz val="9"/>
      <color theme="1"/>
      <name val="Calibri"/>
      <family val="2"/>
      <charset val="238"/>
      <scheme val="minor"/>
    </font>
    <font>
      <sz val="8"/>
      <color rgb="FF0000FF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EB6"/>
        <bgColor indexed="64"/>
      </patternFill>
    </fill>
    <fill>
      <patternFill patternType="solid">
        <fgColor rgb="FFE6E6E6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2AC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70C0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5" fontId="6" fillId="4" borderId="3">
      <alignment horizontal="right" vertical="center"/>
    </xf>
    <xf numFmtId="0" fontId="12" fillId="0" borderId="0"/>
    <xf numFmtId="167" fontId="1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30" fillId="0" borderId="0"/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167" fontId="1" fillId="0" borderId="0" applyFont="0" applyFill="0" applyBorder="0" applyProtection="0">
      <alignment vertical="top"/>
    </xf>
    <xf numFmtId="43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167" fontId="1" fillId="0" borderId="0" applyFont="0" applyFill="0" applyBorder="0" applyProtection="0">
      <alignment vertical="top"/>
    </xf>
    <xf numFmtId="0" fontId="1" fillId="0" borderId="0"/>
    <xf numFmtId="0" fontId="40" fillId="0" borderId="0"/>
    <xf numFmtId="43" fontId="1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1" fillId="0" borderId="0"/>
    <xf numFmtId="174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7" fillId="0" borderId="0"/>
    <xf numFmtId="0" fontId="12" fillId="0" borderId="0"/>
  </cellStyleXfs>
  <cellXfs count="427">
    <xf numFmtId="0" fontId="0" fillId="0" borderId="0" xfId="0"/>
    <xf numFmtId="0" fontId="3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 indent="1"/>
    </xf>
    <xf numFmtId="0" fontId="4" fillId="3" borderId="0" xfId="0" quotePrefix="1" applyFont="1" applyFill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166" fontId="7" fillId="0" borderId="4" xfId="2" applyNumberFormat="1" applyFont="1" applyFill="1" applyBorder="1">
      <alignment horizontal="right" vertical="center"/>
    </xf>
    <xf numFmtId="0" fontId="8" fillId="0" borderId="0" xfId="0" applyFont="1"/>
    <xf numFmtId="166" fontId="9" fillId="0" borderId="3" xfId="2" applyNumberFormat="1" applyFont="1" applyFill="1">
      <alignment horizontal="right" vertical="center"/>
    </xf>
    <xf numFmtId="0" fontId="10" fillId="0" borderId="0" xfId="0" applyFont="1"/>
    <xf numFmtId="166" fontId="9" fillId="0" borderId="3" xfId="2" quotePrefix="1" applyNumberFormat="1" applyFont="1" applyFill="1">
      <alignment horizontal="right" vertical="center"/>
    </xf>
    <xf numFmtId="166" fontId="9" fillId="0" borderId="5" xfId="2" applyNumberFormat="1" applyFont="1" applyFill="1" applyBorder="1">
      <alignment horizontal="right" vertical="center"/>
    </xf>
    <xf numFmtId="166" fontId="7" fillId="0" borderId="6" xfId="2" applyNumberFormat="1" applyFont="1" applyFill="1" applyBorder="1">
      <alignment horizontal="right" vertical="center"/>
    </xf>
    <xf numFmtId="166" fontId="7" fillId="0" borderId="8" xfId="2" applyNumberFormat="1" applyFont="1" applyFill="1" applyBorder="1">
      <alignment horizontal="right" vertical="center"/>
    </xf>
    <xf numFmtId="0" fontId="5" fillId="0" borderId="0" xfId="0" applyFont="1"/>
    <xf numFmtId="166" fontId="7" fillId="0" borderId="3" xfId="2" applyNumberFormat="1" applyFont="1" applyFill="1">
      <alignment horizontal="right" vertical="center"/>
    </xf>
    <xf numFmtId="0" fontId="8" fillId="0" borderId="0" xfId="0" applyFont="1" applyAlignment="1">
      <alignment horizontal="right" indent="1"/>
    </xf>
    <xf numFmtId="166" fontId="8" fillId="0" borderId="0" xfId="0" applyNumberFormat="1" applyFont="1" applyAlignment="1">
      <alignment horizontal="right" indent="1"/>
    </xf>
    <xf numFmtId="0" fontId="11" fillId="0" borderId="0" xfId="0" applyFont="1"/>
    <xf numFmtId="0" fontId="8" fillId="0" borderId="1" xfId="0" applyFont="1" applyBorder="1"/>
    <xf numFmtId="167" fontId="13" fillId="0" borderId="1" xfId="4" applyFont="1" applyBorder="1" applyAlignment="1">
      <alignment horizontal="left" indent="1"/>
    </xf>
    <xf numFmtId="167" fontId="13" fillId="0" borderId="1" xfId="4" applyFont="1" applyBorder="1" applyAlignment="1">
      <alignment horizontal="right"/>
    </xf>
    <xf numFmtId="167" fontId="14" fillId="0" borderId="0" xfId="4" applyFont="1" applyAlignment="1">
      <alignment horizontal="left" indent="1"/>
    </xf>
    <xf numFmtId="167" fontId="14" fillId="0" borderId="0" xfId="4" applyFont="1" applyAlignment="1">
      <alignment horizontal="right"/>
    </xf>
    <xf numFmtId="167" fontId="1" fillId="0" borderId="0" xfId="4" applyAlignment="1">
      <alignment horizontal="left" indent="1"/>
    </xf>
    <xf numFmtId="167" fontId="1" fillId="0" borderId="0" xfId="4" applyAlignment="1">
      <alignment horizontal="right"/>
    </xf>
    <xf numFmtId="168" fontId="15" fillId="0" borderId="2" xfId="4" applyNumberFormat="1" applyFont="1" applyBorder="1">
      <alignment vertical="top"/>
    </xf>
    <xf numFmtId="167" fontId="2" fillId="0" borderId="2" xfId="4" applyFont="1" applyBorder="1" applyAlignment="1">
      <alignment horizontal="right" vertical="top"/>
    </xf>
    <xf numFmtId="167" fontId="2" fillId="0" borderId="2" xfId="4" applyFont="1" applyBorder="1">
      <alignment vertical="top"/>
    </xf>
    <xf numFmtId="167" fontId="0" fillId="0" borderId="0" xfId="0" applyNumberFormat="1"/>
    <xf numFmtId="167" fontId="1" fillId="0" borderId="9" xfId="4" applyBorder="1" applyAlignment="1">
      <alignment horizontal="left" indent="1"/>
    </xf>
    <xf numFmtId="167" fontId="1" fillId="0" borderId="1" xfId="4" applyBorder="1" applyAlignment="1">
      <alignment horizontal="left" indent="1"/>
    </xf>
    <xf numFmtId="167" fontId="1" fillId="0" borderId="1" xfId="4" applyBorder="1" applyAlignment="1">
      <alignment horizontal="right"/>
    </xf>
    <xf numFmtId="167" fontId="2" fillId="0" borderId="10" xfId="4" applyFont="1" applyBorder="1">
      <alignment vertical="top"/>
    </xf>
    <xf numFmtId="167" fontId="2" fillId="0" borderId="10" xfId="4" applyFont="1" applyBorder="1" applyAlignment="1">
      <alignment horizontal="right" vertical="top"/>
    </xf>
    <xf numFmtId="0" fontId="12" fillId="0" borderId="0" xfId="3" applyAlignment="1">
      <alignment vertical="top"/>
    </xf>
    <xf numFmtId="167" fontId="16" fillId="0" borderId="2" xfId="4" applyFont="1" applyBorder="1">
      <alignment vertical="top"/>
    </xf>
    <xf numFmtId="167" fontId="0" fillId="0" borderId="0" xfId="4" applyFont="1" applyAlignment="1">
      <alignment horizontal="left" indent="1"/>
    </xf>
    <xf numFmtId="3" fontId="8" fillId="0" borderId="1" xfId="0" applyNumberFormat="1" applyFont="1" applyBorder="1" applyAlignment="1">
      <alignment horizontal="right" indent="1"/>
    </xf>
    <xf numFmtId="165" fontId="7" fillId="5" borderId="3" xfId="2" applyFont="1" applyFill="1">
      <alignment horizontal="right" vertical="center"/>
    </xf>
    <xf numFmtId="165" fontId="7" fillId="5" borderId="4" xfId="2" applyFont="1" applyFill="1" applyBorder="1">
      <alignment horizontal="right" vertical="center"/>
    </xf>
    <xf numFmtId="165" fontId="8" fillId="0" borderId="0" xfId="0" applyNumberFormat="1" applyFont="1" applyAlignment="1">
      <alignment horizontal="right" indent="1"/>
    </xf>
    <xf numFmtId="3" fontId="0" fillId="0" borderId="0" xfId="0" applyNumberFormat="1"/>
    <xf numFmtId="0" fontId="23" fillId="8" borderId="0" xfId="0" applyFont="1" applyFill="1"/>
    <xf numFmtId="1" fontId="8" fillId="0" borderId="0" xfId="0" applyNumberFormat="1" applyFont="1" applyAlignment="1">
      <alignment horizontal="right" indent="1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right" vertical="center" indent="1"/>
    </xf>
    <xf numFmtId="0" fontId="4" fillId="3" borderId="14" xfId="0" applyFont="1" applyFill="1" applyBorder="1" applyAlignment="1">
      <alignment horizontal="left" vertical="center"/>
    </xf>
    <xf numFmtId="0" fontId="8" fillId="0" borderId="14" xfId="0" applyFont="1" applyBorder="1"/>
    <xf numFmtId="0" fontId="11" fillId="0" borderId="14" xfId="0" applyFont="1" applyBorder="1"/>
    <xf numFmtId="0" fontId="5" fillId="0" borderId="15" xfId="0" applyFont="1" applyBorder="1"/>
    <xf numFmtId="3" fontId="8" fillId="0" borderId="0" xfId="0" applyNumberFormat="1" applyFont="1" applyAlignment="1">
      <alignment horizontal="right" indent="1"/>
    </xf>
    <xf numFmtId="0" fontId="8" fillId="0" borderId="15" xfId="0" applyFont="1" applyBorder="1"/>
    <xf numFmtId="0" fontId="8" fillId="0" borderId="2" xfId="0" applyFont="1" applyBorder="1"/>
    <xf numFmtId="166" fontId="24" fillId="0" borderId="6" xfId="2" applyNumberFormat="1" applyFont="1" applyFill="1" applyBorder="1">
      <alignment horizontal="right" vertical="center"/>
    </xf>
    <xf numFmtId="0" fontId="11" fillId="0" borderId="15" xfId="0" applyFont="1" applyBorder="1"/>
    <xf numFmtId="0" fontId="11" fillId="0" borderId="2" xfId="0" applyFont="1" applyBorder="1"/>
    <xf numFmtId="0" fontId="5" fillId="0" borderId="16" xfId="0" applyFont="1" applyBorder="1"/>
    <xf numFmtId="0" fontId="5" fillId="0" borderId="12" xfId="0" applyFont="1" applyBorder="1"/>
    <xf numFmtId="166" fontId="7" fillId="0" borderId="17" xfId="2" applyNumberFormat="1" applyFont="1" applyFill="1" applyBorder="1">
      <alignment horizontal="right" vertical="center"/>
    </xf>
    <xf numFmtId="14" fontId="21" fillId="7" borderId="11" xfId="0" applyNumberFormat="1" applyFont="1" applyFill="1" applyBorder="1" applyAlignment="1">
      <alignment horizontal="center" vertical="center" wrapText="1"/>
    </xf>
    <xf numFmtId="14" fontId="21" fillId="6" borderId="11" xfId="0" applyNumberFormat="1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wrapText="1"/>
    </xf>
    <xf numFmtId="0" fontId="20" fillId="0" borderId="9" xfId="0" applyFont="1" applyBorder="1" applyAlignment="1">
      <alignment horizontal="left" wrapText="1" indent="1"/>
    </xf>
    <xf numFmtId="3" fontId="0" fillId="9" borderId="9" xfId="0" applyNumberFormat="1" applyFill="1" applyBorder="1"/>
    <xf numFmtId="3" fontId="0" fillId="0" borderId="9" xfId="0" applyNumberFormat="1" applyBorder="1"/>
    <xf numFmtId="9" fontId="0" fillId="9" borderId="9" xfId="0" applyNumberFormat="1" applyFill="1" applyBorder="1"/>
    <xf numFmtId="0" fontId="20" fillId="0" borderId="0" xfId="0" applyFont="1" applyAlignment="1">
      <alignment horizontal="left" wrapText="1" indent="1"/>
    </xf>
    <xf numFmtId="3" fontId="0" fillId="9" borderId="0" xfId="0" applyNumberFormat="1" applyFill="1"/>
    <xf numFmtId="9" fontId="0" fillId="9" borderId="0" xfId="0" applyNumberFormat="1" applyFill="1"/>
    <xf numFmtId="0" fontId="21" fillId="6" borderId="7" xfId="0" applyFont="1" applyFill="1" applyBorder="1" applyAlignment="1">
      <alignment vertical="center"/>
    </xf>
    <xf numFmtId="3" fontId="21" fillId="9" borderId="7" xfId="0" applyNumberFormat="1" applyFont="1" applyFill="1" applyBorder="1" applyAlignment="1">
      <alignment horizontal="right" vertical="center" wrapText="1"/>
    </xf>
    <xf numFmtId="3" fontId="21" fillId="6" borderId="7" xfId="0" applyNumberFormat="1" applyFont="1" applyFill="1" applyBorder="1" applyAlignment="1">
      <alignment horizontal="right" vertical="center" wrapText="1"/>
    </xf>
    <xf numFmtId="9" fontId="2" fillId="9" borderId="7" xfId="0" applyNumberFormat="1" applyFont="1" applyFill="1" applyBorder="1" applyAlignment="1">
      <alignment vertical="center"/>
    </xf>
    <xf numFmtId="0" fontId="2" fillId="0" borderId="0" xfId="0" applyFont="1"/>
    <xf numFmtId="171" fontId="0" fillId="0" borderId="0" xfId="5" applyNumberFormat="1" applyFont="1"/>
    <xf numFmtId="167" fontId="29" fillId="0" borderId="0" xfId="4" applyFont="1" applyAlignment="1">
      <alignment horizontal="left" indent="2"/>
    </xf>
    <xf numFmtId="167" fontId="2" fillId="0" borderId="2" xfId="4" applyNumberFormat="1" applyFont="1" applyBorder="1" applyAlignment="1">
      <alignment horizontal="right" vertical="top"/>
    </xf>
    <xf numFmtId="167" fontId="2" fillId="0" borderId="2" xfId="4" applyFont="1" applyBorder="1" applyAlignment="1">
      <alignment horizontal="right" vertical="top"/>
    </xf>
    <xf numFmtId="167" fontId="2" fillId="0" borderId="10" xfId="4" applyFont="1" applyBorder="1" applyAlignment="1">
      <alignment horizontal="right" vertical="top"/>
    </xf>
    <xf numFmtId="0" fontId="0" fillId="0" borderId="0" xfId="0" applyAlignment="1">
      <alignment horizontal="center"/>
    </xf>
    <xf numFmtId="168" fontId="15" fillId="0" borderId="2" xfId="4" applyNumberFormat="1" applyFont="1" applyBorder="1" applyAlignment="1">
      <alignment vertical="top" wrapText="1"/>
    </xf>
    <xf numFmtId="167" fontId="2" fillId="0" borderId="2" xfId="4" applyFont="1" applyBorder="1" applyAlignment="1">
      <alignment vertical="top" wrapText="1"/>
    </xf>
    <xf numFmtId="167" fontId="2" fillId="0" borderId="1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3" borderId="0" xfId="0" applyFont="1" applyFill="1" applyAlignment="1">
      <alignment horizontal="right" vertical="top" wrapText="1"/>
    </xf>
    <xf numFmtId="167" fontId="13" fillId="0" borderId="1" xfId="4" applyFont="1" applyBorder="1" applyAlignment="1">
      <alignment horizontal="left" vertical="top" wrapText="1"/>
    </xf>
    <xf numFmtId="167" fontId="14" fillId="0" borderId="0" xfId="4" applyFont="1" applyAlignment="1">
      <alignment horizontal="left" vertical="top" wrapText="1"/>
    </xf>
    <xf numFmtId="167" fontId="1" fillId="0" borderId="0" xfId="4" applyAlignment="1">
      <alignment horizontal="left" vertical="top" wrapText="1"/>
    </xf>
    <xf numFmtId="167" fontId="1" fillId="0" borderId="9" xfId="4" applyBorder="1" applyAlignment="1">
      <alignment horizontal="left" vertical="top" wrapText="1"/>
    </xf>
    <xf numFmtId="167" fontId="1" fillId="0" borderId="1" xfId="4" applyBorder="1" applyAlignment="1">
      <alignment horizontal="left" vertical="top" wrapText="1"/>
    </xf>
    <xf numFmtId="0" fontId="17" fillId="6" borderId="0" xfId="0" applyFont="1" applyFill="1" applyAlignment="1">
      <alignment vertical="top" wrapText="1"/>
    </xf>
    <xf numFmtId="0" fontId="18" fillId="6" borderId="7" xfId="0" applyFont="1" applyFill="1" applyBorder="1" applyAlignment="1">
      <alignment vertical="top" wrapText="1"/>
    </xf>
    <xf numFmtId="0" fontId="18" fillId="6" borderId="10" xfId="0" applyFont="1" applyFill="1" applyBorder="1" applyAlignment="1">
      <alignment vertical="top" wrapText="1"/>
    </xf>
    <xf numFmtId="0" fontId="18" fillId="6" borderId="0" xfId="0" applyFont="1" applyFill="1" applyAlignment="1">
      <alignment vertical="top" wrapText="1"/>
    </xf>
    <xf numFmtId="0" fontId="4" fillId="3" borderId="0" xfId="0" applyFont="1" applyFill="1" applyAlignment="1">
      <alignment horizontal="right" vertical="top"/>
    </xf>
    <xf numFmtId="167" fontId="13" fillId="0" borderId="1" xfId="4" applyFont="1" applyBorder="1" applyAlignment="1">
      <alignment horizontal="right" vertical="top"/>
    </xf>
    <xf numFmtId="167" fontId="14" fillId="0" borderId="0" xfId="4" applyFont="1" applyAlignment="1">
      <alignment horizontal="right" vertical="top"/>
    </xf>
    <xf numFmtId="167" fontId="1" fillId="0" borderId="0" xfId="4" applyAlignment="1">
      <alignment horizontal="right" vertical="top"/>
    </xf>
    <xf numFmtId="167" fontId="1" fillId="0" borderId="1" xfId="4" applyBorder="1" applyAlignment="1">
      <alignment horizontal="right" vertical="top"/>
    </xf>
    <xf numFmtId="0" fontId="0" fillId="0" borderId="0" xfId="0" applyAlignment="1">
      <alignment vertical="top"/>
    </xf>
    <xf numFmtId="167" fontId="13" fillId="9" borderId="1" xfId="4" applyFont="1" applyFill="1" applyBorder="1" applyAlignment="1">
      <alignment horizontal="right" vertical="top"/>
    </xf>
    <xf numFmtId="167" fontId="14" fillId="9" borderId="0" xfId="4" applyFont="1" applyFill="1" applyAlignment="1">
      <alignment horizontal="right" vertical="top"/>
    </xf>
    <xf numFmtId="167" fontId="1" fillId="9" borderId="0" xfId="4" applyFill="1" applyAlignment="1">
      <alignment horizontal="right" vertical="top"/>
    </xf>
    <xf numFmtId="167" fontId="2" fillId="9" borderId="2" xfId="4" applyFont="1" applyFill="1" applyBorder="1" applyAlignment="1">
      <alignment horizontal="right" vertical="top"/>
    </xf>
    <xf numFmtId="167" fontId="1" fillId="9" borderId="1" xfId="4" applyFill="1" applyBorder="1" applyAlignment="1">
      <alignment horizontal="right" vertical="top"/>
    </xf>
    <xf numFmtId="167" fontId="2" fillId="9" borderId="10" xfId="4" applyFont="1" applyFill="1" applyBorder="1" applyAlignment="1">
      <alignment horizontal="right" vertical="top"/>
    </xf>
    <xf numFmtId="0" fontId="0" fillId="9" borderId="0" xfId="0" applyFill="1" applyAlignment="1">
      <alignment vertical="top"/>
    </xf>
    <xf numFmtId="170" fontId="19" fillId="9" borderId="7" xfId="1" applyNumberFormat="1" applyFont="1" applyFill="1" applyBorder="1" applyAlignment="1">
      <alignment horizontal="right" vertical="top" wrapText="1"/>
    </xf>
    <xf numFmtId="170" fontId="20" fillId="9" borderId="0" xfId="1" applyNumberFormat="1" applyFont="1" applyFill="1" applyAlignment="1">
      <alignment horizontal="right" vertical="top" wrapText="1"/>
    </xf>
    <xf numFmtId="170" fontId="17" fillId="9" borderId="0" xfId="1" applyNumberFormat="1" applyFont="1" applyFill="1" applyAlignment="1">
      <alignment horizontal="right" vertical="top" wrapText="1"/>
    </xf>
    <xf numFmtId="170" fontId="21" fillId="9" borderId="7" xfId="1" applyNumberFormat="1" applyFont="1" applyFill="1" applyBorder="1" applyAlignment="1">
      <alignment horizontal="right" vertical="top" wrapText="1"/>
    </xf>
    <xf numFmtId="170" fontId="22" fillId="9" borderId="0" xfId="1" applyNumberFormat="1" applyFont="1" applyFill="1" applyAlignment="1">
      <alignment horizontal="right" vertical="top" wrapText="1"/>
    </xf>
    <xf numFmtId="170" fontId="21" fillId="9" borderId="10" xfId="1" applyNumberFormat="1" applyFont="1" applyFill="1" applyBorder="1" applyAlignment="1">
      <alignment horizontal="right" vertical="top" wrapText="1"/>
    </xf>
    <xf numFmtId="170" fontId="21" fillId="9" borderId="0" xfId="1" applyNumberFormat="1" applyFont="1" applyFill="1" applyAlignment="1">
      <alignment horizontal="right" vertical="top" wrapText="1"/>
    </xf>
    <xf numFmtId="170" fontId="18" fillId="9" borderId="0" xfId="1" applyNumberFormat="1" applyFont="1" applyFill="1" applyAlignment="1">
      <alignment horizontal="right" vertical="top" wrapText="1"/>
    </xf>
    <xf numFmtId="0" fontId="0" fillId="0" borderId="0" xfId="0" applyFill="1" applyAlignment="1">
      <alignment vertical="top"/>
    </xf>
    <xf numFmtId="170" fontId="19" fillId="0" borderId="7" xfId="1" applyNumberFormat="1" applyFont="1" applyFill="1" applyBorder="1" applyAlignment="1">
      <alignment horizontal="right" vertical="top" wrapText="1"/>
    </xf>
    <xf numFmtId="170" fontId="20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Fill="1" applyAlignment="1">
      <alignment horizontal="right" vertical="top" wrapText="1"/>
    </xf>
    <xf numFmtId="170" fontId="21" fillId="0" borderId="7" xfId="1" applyNumberFormat="1" applyFont="1" applyFill="1" applyBorder="1" applyAlignment="1">
      <alignment horizontal="right" vertical="top" wrapText="1"/>
    </xf>
    <xf numFmtId="170" fontId="22" fillId="0" borderId="0" xfId="1" applyNumberFormat="1" applyFont="1" applyFill="1" applyAlignment="1">
      <alignment horizontal="right" vertical="top" wrapText="1"/>
    </xf>
    <xf numFmtId="170" fontId="21" fillId="0" borderId="10" xfId="1" applyNumberFormat="1" applyFont="1" applyFill="1" applyBorder="1" applyAlignment="1">
      <alignment horizontal="right" vertical="top" wrapText="1"/>
    </xf>
    <xf numFmtId="170" fontId="21" fillId="0" borderId="0" xfId="1" applyNumberFormat="1" applyFont="1" applyFill="1" applyAlignment="1">
      <alignment horizontal="right" vertical="top" wrapText="1"/>
    </xf>
    <xf numFmtId="170" fontId="18" fillId="0" borderId="0" xfId="1" applyNumberFormat="1" applyFont="1" applyFill="1" applyAlignment="1">
      <alignment horizontal="right" vertical="top" wrapText="1"/>
    </xf>
    <xf numFmtId="167" fontId="13" fillId="9" borderId="1" xfId="4" applyFont="1" applyFill="1" applyBorder="1" applyAlignment="1">
      <alignment horizontal="right"/>
    </xf>
    <xf numFmtId="167" fontId="14" fillId="9" borderId="0" xfId="4" applyFont="1" applyFill="1" applyAlignment="1">
      <alignment horizontal="right"/>
    </xf>
    <xf numFmtId="167" fontId="1" fillId="9" borderId="0" xfId="4" applyFill="1" applyAlignment="1">
      <alignment horizontal="right"/>
    </xf>
    <xf numFmtId="167" fontId="1" fillId="9" borderId="1" xfId="4" applyFill="1" applyBorder="1" applyAlignment="1">
      <alignment horizontal="right"/>
    </xf>
    <xf numFmtId="0" fontId="4" fillId="3" borderId="18" xfId="0" applyFont="1" applyFill="1" applyBorder="1" applyAlignment="1">
      <alignment horizontal="right" vertical="top"/>
    </xf>
    <xf numFmtId="0" fontId="4" fillId="3" borderId="18" xfId="0" applyFont="1" applyFill="1" applyBorder="1" applyAlignment="1">
      <alignment horizontal="right" vertical="center" indent="1"/>
    </xf>
    <xf numFmtId="14" fontId="4" fillId="3" borderId="0" xfId="0" applyNumberFormat="1" applyFont="1" applyFill="1" applyAlignment="1">
      <alignment horizontal="right" vertical="top"/>
    </xf>
    <xf numFmtId="14" fontId="0" fillId="0" borderId="0" xfId="0" applyNumberFormat="1"/>
    <xf numFmtId="14" fontId="4" fillId="3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0" fontId="0" fillId="0" borderId="0" xfId="1" applyNumberFormat="1" applyFont="1" applyAlignment="1">
      <alignment horizontal="right" vertical="top"/>
    </xf>
    <xf numFmtId="0" fontId="0" fillId="0" borderId="0" xfId="0" applyFill="1" applyAlignment="1">
      <alignment horizontal="right" vertical="top"/>
    </xf>
    <xf numFmtId="14" fontId="4" fillId="3" borderId="0" xfId="0" applyNumberFormat="1" applyFont="1" applyFill="1" applyAlignment="1">
      <alignment horizontal="center" vertical="top"/>
    </xf>
    <xf numFmtId="14" fontId="0" fillId="0" borderId="0" xfId="0" applyNumberFormat="1" applyAlignment="1">
      <alignment horizontal="center"/>
    </xf>
    <xf numFmtId="0" fontId="4" fillId="3" borderId="18" xfId="0" applyFont="1" applyFill="1" applyBorder="1" applyAlignment="1">
      <alignment horizontal="center" vertical="top"/>
    </xf>
    <xf numFmtId="167" fontId="2" fillId="0" borderId="0" xfId="4" applyFont="1" applyBorder="1" applyAlignment="1">
      <alignment vertical="top" wrapText="1"/>
    </xf>
    <xf numFmtId="167" fontId="2" fillId="9" borderId="0" xfId="4" applyFont="1" applyFill="1" applyBorder="1" applyAlignment="1">
      <alignment horizontal="right" vertical="top"/>
    </xf>
    <xf numFmtId="167" fontId="2" fillId="0" borderId="0" xfId="4" applyFont="1" applyBorder="1" applyAlignment="1">
      <alignment horizontal="right" vertical="top"/>
    </xf>
    <xf numFmtId="167" fontId="13" fillId="0" borderId="0" xfId="4" applyFont="1" applyFill="1" applyBorder="1" applyAlignment="1">
      <alignment horizontal="right" vertical="top"/>
    </xf>
    <xf numFmtId="0" fontId="0" fillId="0" borderId="0" xfId="0" applyFill="1"/>
    <xf numFmtId="167" fontId="2" fillId="0" borderId="0" xfId="4" applyFont="1" applyFill="1" applyBorder="1" applyAlignment="1">
      <alignment horizontal="right" vertical="top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 indent="1"/>
    </xf>
    <xf numFmtId="0" fontId="2" fillId="0" borderId="1" xfId="0" applyFont="1" applyBorder="1"/>
    <xf numFmtId="0" fontId="2" fillId="0" borderId="2" xfId="0" applyFont="1" applyBorder="1"/>
    <xf numFmtId="0" fontId="0" fillId="0" borderId="0" xfId="0" applyFont="1"/>
    <xf numFmtId="0" fontId="14" fillId="0" borderId="0" xfId="0" applyFont="1"/>
    <xf numFmtId="0" fontId="2" fillId="0" borderId="7" xfId="0" applyFont="1" applyBorder="1"/>
    <xf numFmtId="167" fontId="13" fillId="9" borderId="1" xfId="4" applyFont="1" applyFill="1" applyBorder="1" applyAlignment="1">
      <alignment vertical="top"/>
    </xf>
    <xf numFmtId="167" fontId="14" fillId="9" borderId="1" xfId="4" applyFont="1" applyFill="1" applyBorder="1" applyAlignment="1">
      <alignment vertical="top"/>
    </xf>
    <xf numFmtId="167" fontId="13" fillId="9" borderId="0" xfId="4" applyFont="1" applyFill="1" applyBorder="1" applyAlignment="1">
      <alignment vertical="top"/>
    </xf>
    <xf numFmtId="167" fontId="14" fillId="9" borderId="9" xfId="4" applyFont="1" applyFill="1" applyBorder="1" applyAlignment="1">
      <alignment vertical="top"/>
    </xf>
    <xf numFmtId="167" fontId="13" fillId="0" borderId="1" xfId="4" applyFont="1" applyFill="1" applyBorder="1" applyAlignment="1">
      <alignment vertical="top"/>
    </xf>
    <xf numFmtId="167" fontId="14" fillId="0" borderId="0" xfId="4" applyFont="1" applyFill="1" applyAlignment="1">
      <alignment vertical="top" wrapText="1"/>
    </xf>
    <xf numFmtId="167" fontId="1" fillId="0" borderId="0" xfId="4" applyFill="1" applyAlignment="1">
      <alignment vertical="top" wrapText="1"/>
    </xf>
    <xf numFmtId="167" fontId="1" fillId="0" borderId="1" xfId="4" applyFill="1" applyBorder="1" applyAlignment="1">
      <alignment vertical="top" wrapText="1"/>
    </xf>
    <xf numFmtId="167" fontId="14" fillId="0" borderId="1" xfId="4" applyFont="1" applyFill="1" applyBorder="1" applyAlignment="1">
      <alignment vertical="top"/>
    </xf>
    <xf numFmtId="167" fontId="13" fillId="0" borderId="0" xfId="4" applyFont="1" applyFill="1" applyBorder="1" applyAlignment="1">
      <alignment vertical="top"/>
    </xf>
    <xf numFmtId="167" fontId="14" fillId="0" borderId="9" xfId="4" applyFont="1" applyFill="1" applyBorder="1" applyAlignment="1">
      <alignment vertical="top"/>
    </xf>
    <xf numFmtId="167" fontId="2" fillId="0" borderId="10" xfId="4" applyFont="1" applyFill="1" applyBorder="1" applyAlignment="1">
      <alignment vertical="top" wrapText="1"/>
    </xf>
    <xf numFmtId="167" fontId="1" fillId="0" borderId="0" xfId="4" applyFill="1" applyAlignment="1">
      <alignment horizontal="right" indent="1"/>
    </xf>
    <xf numFmtId="0" fontId="12" fillId="0" borderId="0" xfId="3" applyFill="1" applyAlignment="1">
      <alignment vertical="top"/>
    </xf>
    <xf numFmtId="167" fontId="14" fillId="9" borderId="0" xfId="4" applyFont="1" applyFill="1" applyAlignment="1">
      <alignment vertical="top" wrapText="1"/>
    </xf>
    <xf numFmtId="167" fontId="1" fillId="9" borderId="0" xfId="4" applyFill="1" applyAlignment="1">
      <alignment vertical="top" wrapText="1"/>
    </xf>
    <xf numFmtId="167" fontId="1" fillId="9" borderId="1" xfId="4" applyFill="1" applyBorder="1" applyAlignment="1">
      <alignment vertical="top" wrapText="1"/>
    </xf>
    <xf numFmtId="167" fontId="2" fillId="9" borderId="10" xfId="4" applyFont="1" applyFill="1" applyBorder="1" applyAlignment="1">
      <alignment vertical="top" wrapText="1"/>
    </xf>
    <xf numFmtId="167" fontId="1" fillId="9" borderId="0" xfId="4" applyFill="1" applyAlignment="1">
      <alignment horizontal="right" indent="1"/>
    </xf>
    <xf numFmtId="0" fontId="12" fillId="9" borderId="0" xfId="3" applyFill="1" applyAlignment="1">
      <alignment vertical="top"/>
    </xf>
    <xf numFmtId="167" fontId="13" fillId="0" borderId="1" xfId="4" applyFont="1" applyFill="1" applyBorder="1" applyAlignment="1">
      <alignment horizontal="right" vertical="top"/>
    </xf>
    <xf numFmtId="167" fontId="14" fillId="0" borderId="0" xfId="4" applyFont="1" applyFill="1" applyAlignment="1">
      <alignment horizontal="right" vertical="top"/>
    </xf>
    <xf numFmtId="167" fontId="1" fillId="0" borderId="0" xfId="4" applyFill="1" applyAlignment="1">
      <alignment horizontal="right" vertical="top"/>
    </xf>
    <xf numFmtId="167" fontId="2" fillId="0" borderId="2" xfId="4" applyFont="1" applyFill="1" applyBorder="1" applyAlignment="1">
      <alignment horizontal="right" vertical="top"/>
    </xf>
    <xf numFmtId="167" fontId="1" fillId="0" borderId="1" xfId="4" applyFill="1" applyBorder="1" applyAlignment="1">
      <alignment horizontal="right" vertical="top"/>
    </xf>
    <xf numFmtId="167" fontId="2" fillId="0" borderId="10" xfId="4" applyFont="1" applyFill="1" applyBorder="1" applyAlignment="1">
      <alignment horizontal="right" vertical="top"/>
    </xf>
    <xf numFmtId="0" fontId="29" fillId="0" borderId="0" xfId="0" applyFont="1" applyAlignment="1">
      <alignment vertical="top"/>
    </xf>
    <xf numFmtId="0" fontId="29" fillId="0" borderId="0" xfId="0" applyFont="1" applyFill="1" applyAlignment="1">
      <alignment vertical="top"/>
    </xf>
    <xf numFmtId="0" fontId="29" fillId="0" borderId="0" xfId="0" applyFont="1"/>
    <xf numFmtId="169" fontId="14" fillId="10" borderId="0" xfId="4" applyNumberFormat="1" applyFont="1" applyFill="1" applyAlignment="1">
      <alignment vertical="top" wrapText="1"/>
    </xf>
    <xf numFmtId="14" fontId="21" fillId="9" borderId="1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0" fillId="0" borderId="19" xfId="0" applyBorder="1"/>
    <xf numFmtId="3" fontId="0" fillId="9" borderId="19" xfId="0" applyNumberFormat="1" applyFill="1" applyBorder="1"/>
    <xf numFmtId="3" fontId="0" fillId="0" borderId="19" xfId="0" applyNumberFormat="1" applyBorder="1"/>
    <xf numFmtId="0" fontId="32" fillId="3" borderId="20" xfId="0" applyFont="1" applyFill="1" applyBorder="1" applyAlignment="1">
      <alignment horizontal="center" vertical="center"/>
    </xf>
    <xf numFmtId="14" fontId="32" fillId="3" borderId="20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0" fillId="0" borderId="19" xfId="0" applyNumberFormat="1" applyFill="1" applyBorder="1"/>
    <xf numFmtId="167" fontId="13" fillId="9" borderId="2" xfId="4" applyFont="1" applyFill="1" applyBorder="1" applyAlignment="1">
      <alignment vertical="top"/>
    </xf>
    <xf numFmtId="167" fontId="13" fillId="0" borderId="2" xfId="4" applyFont="1" applyFill="1" applyBorder="1" applyAlignment="1">
      <alignment vertical="top"/>
    </xf>
    <xf numFmtId="3" fontId="29" fillId="0" borderId="0" xfId="0" applyNumberFormat="1" applyFont="1" applyAlignment="1">
      <alignment horizontal="right"/>
    </xf>
    <xf numFmtId="3" fontId="32" fillId="3" borderId="0" xfId="0" applyNumberFormat="1" applyFont="1" applyFill="1" applyAlignment="1">
      <alignment horizontal="left" vertical="center"/>
    </xf>
    <xf numFmtId="164" fontId="0" fillId="0" borderId="0" xfId="0" applyNumberFormat="1"/>
    <xf numFmtId="0" fontId="18" fillId="6" borderId="23" xfId="0" applyFont="1" applyFill="1" applyBorder="1" applyAlignment="1">
      <alignment vertical="top" wrapText="1"/>
    </xf>
    <xf numFmtId="170" fontId="21" fillId="9" borderId="23" xfId="1" applyNumberFormat="1" applyFont="1" applyFill="1" applyBorder="1" applyAlignment="1">
      <alignment horizontal="right" vertical="top" wrapText="1"/>
    </xf>
    <xf numFmtId="170" fontId="21" fillId="0" borderId="23" xfId="1" applyNumberFormat="1" applyFont="1" applyFill="1" applyBorder="1" applyAlignment="1">
      <alignment horizontal="right" vertical="top" wrapText="1"/>
    </xf>
    <xf numFmtId="0" fontId="33" fillId="11" borderId="24" xfId="0" applyFont="1" applyFill="1" applyBorder="1" applyAlignment="1">
      <alignment horizontal="left" vertical="center" indent="1"/>
    </xf>
    <xf numFmtId="0" fontId="34" fillId="6" borderId="24" xfId="0" applyFont="1" applyFill="1" applyBorder="1" applyAlignment="1">
      <alignment vertical="top" wrapText="1"/>
    </xf>
    <xf numFmtId="170" fontId="33" fillId="9" borderId="24" xfId="1" applyNumberFormat="1" applyFont="1" applyFill="1" applyBorder="1" applyAlignment="1">
      <alignment horizontal="right" vertical="top" wrapText="1"/>
    </xf>
    <xf numFmtId="170" fontId="33" fillId="0" borderId="24" xfId="1" applyNumberFormat="1" applyFont="1" applyFill="1" applyBorder="1" applyAlignment="1">
      <alignment horizontal="right" vertical="top" wrapText="1"/>
    </xf>
    <xf numFmtId="170" fontId="19" fillId="9" borderId="23" xfId="1" applyNumberFormat="1" applyFont="1" applyFill="1" applyBorder="1" applyAlignment="1">
      <alignment horizontal="right" vertical="top" wrapText="1"/>
    </xf>
    <xf numFmtId="170" fontId="19" fillId="0" borderId="23" xfId="1" applyNumberFormat="1" applyFont="1" applyFill="1" applyBorder="1" applyAlignment="1">
      <alignment horizontal="right" vertical="top" wrapText="1"/>
    </xf>
    <xf numFmtId="0" fontId="33" fillId="11" borderId="25" xfId="0" applyFont="1" applyFill="1" applyBorder="1" applyAlignment="1">
      <alignment horizontal="left" vertical="center" indent="1"/>
    </xf>
    <xf numFmtId="0" fontId="34" fillId="6" borderId="25" xfId="0" applyFont="1" applyFill="1" applyBorder="1" applyAlignment="1">
      <alignment vertical="top" wrapText="1"/>
    </xf>
    <xf numFmtId="170" fontId="35" fillId="9" borderId="25" xfId="1" applyNumberFormat="1" applyFont="1" applyFill="1" applyBorder="1" applyAlignment="1">
      <alignment horizontal="right" vertical="top" wrapText="1"/>
    </xf>
    <xf numFmtId="170" fontId="35" fillId="0" borderId="25" xfId="1" applyNumberFormat="1" applyFont="1" applyFill="1" applyBorder="1" applyAlignment="1">
      <alignment horizontal="right" vertical="top" wrapText="1"/>
    </xf>
    <xf numFmtId="170" fontId="35" fillId="0" borderId="9" xfId="1" applyNumberFormat="1" applyFont="1" applyFill="1" applyBorder="1" applyAlignment="1">
      <alignment horizontal="right" vertical="top" wrapText="1"/>
    </xf>
    <xf numFmtId="0" fontId="36" fillId="6" borderId="0" xfId="0" applyFont="1" applyFill="1" applyAlignment="1">
      <alignment horizontal="justify" vertical="center"/>
    </xf>
    <xf numFmtId="0" fontId="0" fillId="0" borderId="0" xfId="0" applyFont="1" applyFill="1" applyBorder="1"/>
    <xf numFmtId="0" fontId="4" fillId="3" borderId="26" xfId="0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right" vertical="center" indent="1"/>
    </xf>
    <xf numFmtId="0" fontId="4" fillId="3" borderId="27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right" vertical="center" indent="1"/>
    </xf>
    <xf numFmtId="0" fontId="37" fillId="0" borderId="28" xfId="0" applyFont="1" applyBorder="1" applyAlignment="1">
      <alignment horizontal="left" vertical="center" wrapText="1"/>
    </xf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0" fontId="37" fillId="0" borderId="32" xfId="0" applyFont="1" applyBorder="1" applyAlignment="1">
      <alignment horizontal="left" vertical="center" wrapText="1"/>
    </xf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0" fontId="38" fillId="0" borderId="36" xfId="0" applyFont="1" applyBorder="1" applyAlignment="1">
      <alignment horizontal="left" vertical="center" wrapText="1"/>
    </xf>
    <xf numFmtId="3" fontId="2" fillId="0" borderId="37" xfId="0" applyNumberFormat="1" applyFont="1" applyBorder="1"/>
    <xf numFmtId="0" fontId="37" fillId="0" borderId="36" xfId="0" applyFont="1" applyBorder="1" applyAlignment="1">
      <alignment horizontal="left" vertical="center" wrapText="1"/>
    </xf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38" fillId="0" borderId="26" xfId="0" applyFont="1" applyBorder="1" applyAlignment="1">
      <alignment horizontal="left" vertical="center" wrapText="1"/>
    </xf>
    <xf numFmtId="3" fontId="2" fillId="0" borderId="41" xfId="0" applyNumberFormat="1" applyFont="1" applyBorder="1"/>
    <xf numFmtId="3" fontId="2" fillId="0" borderId="42" xfId="0" applyNumberFormat="1" applyFont="1" applyBorder="1"/>
    <xf numFmtId="3" fontId="2" fillId="0" borderId="43" xfId="0" applyNumberFormat="1" applyFont="1" applyBorder="1"/>
    <xf numFmtId="0" fontId="4" fillId="3" borderId="26" xfId="0" applyFont="1" applyFill="1" applyBorder="1" applyAlignment="1">
      <alignment horizontal="left" vertical="center" indent="1"/>
    </xf>
    <xf numFmtId="0" fontId="37" fillId="0" borderId="44" xfId="0" applyFont="1" applyBorder="1" applyAlignment="1">
      <alignment horizontal="left" vertical="center" wrapText="1"/>
    </xf>
    <xf numFmtId="3" fontId="0" fillId="0" borderId="37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3" fontId="2" fillId="0" borderId="0" xfId="0" applyNumberFormat="1" applyFont="1"/>
    <xf numFmtId="0" fontId="37" fillId="0" borderId="48" xfId="0" applyFont="1" applyBorder="1" applyAlignment="1">
      <alignment horizontal="left" vertical="center" wrapText="1"/>
    </xf>
    <xf numFmtId="172" fontId="0" fillId="0" borderId="29" xfId="0" applyNumberFormat="1" applyBorder="1"/>
    <xf numFmtId="172" fontId="0" fillId="0" borderId="30" xfId="0" applyNumberFormat="1" applyBorder="1"/>
    <xf numFmtId="172" fontId="0" fillId="0" borderId="31" xfId="0" applyNumberFormat="1" applyBorder="1"/>
    <xf numFmtId="172" fontId="0" fillId="0" borderId="33" xfId="0" applyNumberFormat="1" applyBorder="1"/>
    <xf numFmtId="172" fontId="0" fillId="0" borderId="34" xfId="0" applyNumberFormat="1" applyBorder="1"/>
    <xf numFmtId="172" fontId="0" fillId="0" borderId="35" xfId="0" applyNumberFormat="1" applyBorder="1"/>
    <xf numFmtId="0" fontId="37" fillId="0" borderId="50" xfId="0" applyFont="1" applyBorder="1" applyAlignment="1">
      <alignment horizontal="left" vertical="center" wrapText="1"/>
    </xf>
    <xf numFmtId="4" fontId="0" fillId="0" borderId="39" xfId="0" applyNumberFormat="1" applyBorder="1"/>
    <xf numFmtId="172" fontId="2" fillId="0" borderId="43" xfId="0" applyNumberFormat="1" applyFont="1" applyBorder="1"/>
    <xf numFmtId="172" fontId="0" fillId="0" borderId="0" xfId="0" applyNumberFormat="1"/>
    <xf numFmtId="0" fontId="4" fillId="3" borderId="26" xfId="0" applyFont="1" applyFill="1" applyBorder="1" applyAlignment="1">
      <alignment horizontal="left" vertical="center" wrapText="1" indent="1"/>
    </xf>
    <xf numFmtId="0" fontId="4" fillId="3" borderId="43" xfId="0" applyFont="1" applyFill="1" applyBorder="1" applyAlignment="1">
      <alignment horizontal="right" vertical="center" indent="1"/>
    </xf>
    <xf numFmtId="172" fontId="0" fillId="0" borderId="49" xfId="0" applyNumberFormat="1" applyBorder="1"/>
    <xf numFmtId="3" fontId="0" fillId="0" borderId="51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167" fontId="1" fillId="11" borderId="1" xfId="4" applyFill="1" applyBorder="1" applyAlignment="1">
      <alignment vertical="top" wrapText="1"/>
    </xf>
    <xf numFmtId="167" fontId="1" fillId="0" borderId="0" xfId="4" applyFont="1" applyBorder="1" applyAlignment="1">
      <alignment horizontal="right" vertical="top"/>
    </xf>
    <xf numFmtId="167" fontId="14" fillId="11" borderId="0" xfId="4" applyFont="1" applyFill="1" applyAlignment="1">
      <alignment vertical="top" wrapText="1"/>
    </xf>
    <xf numFmtId="0" fontId="0" fillId="11" borderId="0" xfId="0" applyFill="1" applyAlignment="1">
      <alignment vertical="top" wrapText="1"/>
    </xf>
    <xf numFmtId="0" fontId="39" fillId="0" borderId="0" xfId="0" applyFont="1" applyAlignment="1">
      <alignment vertical="top" wrapText="1"/>
    </xf>
    <xf numFmtId="167" fontId="14" fillId="9" borderId="0" xfId="4" applyFont="1" applyFill="1" applyBorder="1" applyAlignment="1">
      <alignment vertical="top"/>
    </xf>
    <xf numFmtId="167" fontId="14" fillId="0" borderId="0" xfId="4" applyFont="1" applyFill="1" applyBorder="1" applyAlignment="1">
      <alignment vertical="top"/>
    </xf>
    <xf numFmtId="0" fontId="22" fillId="6" borderId="0" xfId="6" applyFont="1" applyFill="1" applyAlignment="1">
      <alignment horizontal="left" vertical="center" indent="1"/>
    </xf>
    <xf numFmtId="167" fontId="1" fillId="0" borderId="0" xfId="4" applyAlignment="1">
      <alignment horizontal="left" vertical="top" wrapText="1" indent="1"/>
    </xf>
    <xf numFmtId="170" fontId="21" fillId="9" borderId="54" xfId="1" applyNumberFormat="1" applyFont="1" applyFill="1" applyBorder="1" applyAlignment="1">
      <alignment horizontal="right" vertical="top" wrapText="1"/>
    </xf>
    <xf numFmtId="170" fontId="21" fillId="0" borderId="54" xfId="1" applyNumberFormat="1" applyFont="1" applyFill="1" applyBorder="1" applyAlignment="1">
      <alignment horizontal="right" vertical="top" wrapText="1"/>
    </xf>
    <xf numFmtId="0" fontId="37" fillId="0" borderId="55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172" fontId="2" fillId="0" borderId="42" xfId="0" applyNumberFormat="1" applyFont="1" applyBorder="1"/>
    <xf numFmtId="4" fontId="0" fillId="0" borderId="40" xfId="0" applyNumberFormat="1" applyBorder="1"/>
    <xf numFmtId="172" fontId="0" fillId="0" borderId="58" xfId="0" applyNumberFormat="1" applyBorder="1"/>
    <xf numFmtId="172" fontId="0" fillId="0" borderId="59" xfId="0" applyNumberFormat="1" applyBorder="1"/>
    <xf numFmtId="172" fontId="0" fillId="0" borderId="60" xfId="0" applyNumberFormat="1" applyBorder="1"/>
    <xf numFmtId="0" fontId="4" fillId="3" borderId="21" xfId="0" applyFont="1" applyFill="1" applyBorder="1" applyAlignment="1">
      <alignment horizontal="right" vertical="center" indent="1"/>
    </xf>
    <xf numFmtId="0" fontId="4" fillId="3" borderId="42" xfId="0" applyFont="1" applyFill="1" applyBorder="1" applyAlignment="1">
      <alignment horizontal="right" vertical="center" indent="1"/>
    </xf>
    <xf numFmtId="3" fontId="2" fillId="0" borderId="61" xfId="0" applyNumberFormat="1" applyFont="1" applyBorder="1"/>
    <xf numFmtId="172" fontId="0" fillId="0" borderId="62" xfId="0" applyNumberFormat="1" applyBorder="1"/>
    <xf numFmtId="172" fontId="0" fillId="0" borderId="47" xfId="0" applyNumberFormat="1" applyBorder="1"/>
    <xf numFmtId="172" fontId="0" fillId="0" borderId="63" xfId="0" applyNumberFormat="1" applyBorder="1"/>
    <xf numFmtId="173" fontId="0" fillId="0" borderId="53" xfId="1" applyNumberFormat="1" applyFont="1" applyBorder="1"/>
    <xf numFmtId="167" fontId="41" fillId="12" borderId="0" xfId="17" applyFont="1" applyFill="1" applyBorder="1" applyAlignment="1"/>
    <xf numFmtId="167" fontId="2" fillId="0" borderId="10" xfId="4" applyNumberFormat="1" applyFont="1" applyBorder="1" applyAlignment="1">
      <alignment horizontal="right" vertical="top"/>
    </xf>
    <xf numFmtId="166" fontId="7" fillId="0" borderId="5" xfId="2" applyNumberFormat="1" applyFont="1" applyFill="1" applyBorder="1">
      <alignment horizontal="right" vertical="center"/>
    </xf>
    <xf numFmtId="175" fontId="42" fillId="13" borderId="7" xfId="0" applyNumberFormat="1" applyFont="1" applyFill="1" applyBorder="1" applyAlignment="1">
      <alignment horizontal="center" vertical="center" wrapText="1"/>
    </xf>
    <xf numFmtId="14" fontId="42" fillId="13" borderId="7" xfId="0" applyNumberFormat="1" applyFont="1" applyFill="1" applyBorder="1" applyAlignment="1">
      <alignment horizontal="center" vertical="center" wrapText="1"/>
    </xf>
    <xf numFmtId="14" fontId="42" fillId="13" borderId="7" xfId="0" applyNumberFormat="1" applyFont="1" applyFill="1" applyBorder="1" applyAlignment="1">
      <alignment horizontal="center" wrapText="1"/>
    </xf>
    <xf numFmtId="0" fontId="43" fillId="14" borderId="1" xfId="0" applyFont="1" applyFill="1" applyBorder="1" applyAlignment="1">
      <alignment vertical="center"/>
    </xf>
    <xf numFmtId="167" fontId="43" fillId="0" borderId="1" xfId="0" applyNumberFormat="1" applyFont="1" applyBorder="1" applyAlignment="1">
      <alignment horizontal="center"/>
    </xf>
    <xf numFmtId="167" fontId="43" fillId="15" borderId="1" xfId="0" applyNumberFormat="1" applyFont="1" applyFill="1" applyBorder="1" applyAlignment="1">
      <alignment horizontal="center"/>
    </xf>
    <xf numFmtId="0" fontId="44" fillId="14" borderId="0" xfId="0" applyFont="1" applyFill="1" applyAlignment="1">
      <alignment horizontal="left" vertical="center" indent="1"/>
    </xf>
    <xf numFmtId="167" fontId="44" fillId="0" borderId="0" xfId="51" applyFont="1" applyFill="1" applyBorder="1" applyAlignment="1">
      <alignment horizontal="center"/>
    </xf>
    <xf numFmtId="167" fontId="44" fillId="15" borderId="0" xfId="51" applyFont="1" applyFill="1" applyBorder="1" applyAlignment="1">
      <alignment horizontal="center"/>
    </xf>
    <xf numFmtId="0" fontId="43" fillId="14" borderId="64" xfId="0" applyFont="1" applyFill="1" applyBorder="1" applyAlignment="1">
      <alignment vertical="center"/>
    </xf>
    <xf numFmtId="167" fontId="43" fillId="0" borderId="64" xfId="51" applyFont="1" applyFill="1" applyBorder="1" applyAlignment="1">
      <alignment horizontal="center"/>
    </xf>
    <xf numFmtId="167" fontId="43" fillId="15" borderId="64" xfId="51" applyFont="1" applyFill="1" applyBorder="1" applyAlignment="1">
      <alignment horizontal="center"/>
    </xf>
    <xf numFmtId="0" fontId="45" fillId="0" borderId="0" xfId="0" applyFont="1"/>
    <xf numFmtId="167" fontId="45" fillId="0" borderId="0" xfId="0" applyNumberFormat="1" applyFont="1"/>
    <xf numFmtId="167" fontId="42" fillId="13" borderId="7" xfId="0" applyNumberFormat="1" applyFont="1" applyFill="1" applyBorder="1" applyAlignment="1">
      <alignment horizontal="center" vertical="center" wrapText="1"/>
    </xf>
    <xf numFmtId="167" fontId="42" fillId="13" borderId="7" xfId="0" applyNumberFormat="1" applyFont="1" applyFill="1" applyBorder="1" applyAlignment="1">
      <alignment horizontal="center" wrapText="1"/>
    </xf>
    <xf numFmtId="0" fontId="46" fillId="0" borderId="57" xfId="0" applyFont="1" applyBorder="1" applyAlignment="1">
      <alignment horizontal="left" vertical="center" wrapText="1" indent="1"/>
    </xf>
    <xf numFmtId="3" fontId="8" fillId="0" borderId="45" xfId="0" applyNumberFormat="1" applyFont="1" applyBorder="1"/>
    <xf numFmtId="173" fontId="8" fillId="0" borderId="45" xfId="1" applyNumberFormat="1" applyFont="1" applyBorder="1"/>
    <xf numFmtId="173" fontId="8" fillId="0" borderId="46" xfId="1" applyNumberFormat="1" applyFont="1" applyBorder="1"/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right" vertical="top"/>
    </xf>
    <xf numFmtId="0" fontId="0" fillId="0" borderId="0" xfId="0" applyBorder="1"/>
    <xf numFmtId="3" fontId="0" fillId="9" borderId="0" xfId="0" applyNumberFormat="1" applyFill="1" applyBorder="1"/>
    <xf numFmtId="3" fontId="0" fillId="0" borderId="0" xfId="0" applyNumberFormat="1" applyBorder="1"/>
    <xf numFmtId="0" fontId="21" fillId="6" borderId="64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32" fillId="3" borderId="13" xfId="0" applyFont="1" applyFill="1" applyBorder="1" applyAlignment="1">
      <alignment horizontal="left" vertical="center"/>
    </xf>
    <xf numFmtId="0" fontId="32" fillId="3" borderId="65" xfId="0" applyFont="1" applyFill="1" applyBorder="1" applyAlignment="1">
      <alignment horizontal="center" vertical="center"/>
    </xf>
    <xf numFmtId="0" fontId="32" fillId="3" borderId="66" xfId="0" applyFont="1" applyFill="1" applyBorder="1" applyAlignment="1">
      <alignment horizontal="center" vertical="center"/>
    </xf>
    <xf numFmtId="0" fontId="0" fillId="0" borderId="14" xfId="0" applyBorder="1"/>
    <xf numFmtId="0" fontId="0" fillId="0" borderId="67" xfId="0" applyBorder="1"/>
    <xf numFmtId="0" fontId="2" fillId="0" borderId="14" xfId="0" applyFont="1" applyBorder="1"/>
    <xf numFmtId="3" fontId="2" fillId="0" borderId="67" xfId="0" applyNumberFormat="1" applyFont="1" applyBorder="1"/>
    <xf numFmtId="3" fontId="0" fillId="0" borderId="67" xfId="0" applyNumberFormat="1" applyBorder="1"/>
    <xf numFmtId="0" fontId="0" fillId="0" borderId="68" xfId="0" applyBorder="1"/>
    <xf numFmtId="3" fontId="0" fillId="0" borderId="69" xfId="0" applyNumberFormat="1" applyBorder="1"/>
    <xf numFmtId="0" fontId="21" fillId="6" borderId="15" xfId="0" applyFont="1" applyFill="1" applyBorder="1" applyAlignment="1">
      <alignment vertical="center"/>
    </xf>
    <xf numFmtId="0" fontId="22" fillId="6" borderId="14" xfId="0" applyFont="1" applyFill="1" applyBorder="1" applyAlignment="1">
      <alignment horizontal="left" vertical="center" indent="1"/>
    </xf>
    <xf numFmtId="0" fontId="21" fillId="6" borderId="70" xfId="0" applyFont="1" applyFill="1" applyBorder="1" applyAlignment="1">
      <alignment vertical="center"/>
    </xf>
    <xf numFmtId="0" fontId="0" fillId="0" borderId="16" xfId="0" applyBorder="1"/>
    <xf numFmtId="0" fontId="0" fillId="0" borderId="12" xfId="0" applyBorder="1"/>
    <xf numFmtId="3" fontId="0" fillId="0" borderId="71" xfId="0" applyNumberFormat="1" applyBorder="1"/>
    <xf numFmtId="0" fontId="2" fillId="16" borderId="14" xfId="0" applyFont="1" applyFill="1" applyBorder="1"/>
    <xf numFmtId="0" fontId="0" fillId="16" borderId="0" xfId="0" applyFill="1" applyBorder="1"/>
    <xf numFmtId="3" fontId="0" fillId="16" borderId="67" xfId="0" applyNumberFormat="1" applyFill="1" applyBorder="1"/>
    <xf numFmtId="3" fontId="2" fillId="9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9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9" borderId="19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16" borderId="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9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11" borderId="19" xfId="0" applyNumberFormat="1" applyFill="1" applyBorder="1" applyAlignment="1">
      <alignment horizontal="center"/>
    </xf>
    <xf numFmtId="3" fontId="2" fillId="9" borderId="64" xfId="0" applyNumberFormat="1" applyFont="1" applyFill="1" applyBorder="1" applyAlignment="1">
      <alignment horizontal="center"/>
    </xf>
    <xf numFmtId="3" fontId="2" fillId="0" borderId="64" xfId="0" applyNumberFormat="1" applyFont="1" applyBorder="1" applyAlignment="1">
      <alignment horizontal="center"/>
    </xf>
    <xf numFmtId="3" fontId="0" fillId="9" borderId="25" xfId="0" applyNumberForma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2" fillId="3" borderId="13" xfId="0" applyFont="1" applyFill="1" applyBorder="1" applyAlignment="1">
      <alignment horizontal="left" vertical="center" wrapText="1"/>
    </xf>
    <xf numFmtId="3" fontId="2" fillId="9" borderId="72" xfId="0" applyNumberFormat="1" applyFont="1" applyFill="1" applyBorder="1" applyAlignment="1">
      <alignment horizontal="center"/>
    </xf>
    <xf numFmtId="3" fontId="2" fillId="0" borderId="72" xfId="0" applyNumberFormat="1" applyFont="1" applyBorder="1" applyAlignment="1">
      <alignment horizontal="center"/>
    </xf>
    <xf numFmtId="3" fontId="2" fillId="0" borderId="67" xfId="0" applyNumberFormat="1" applyFont="1" applyFill="1" applyBorder="1" applyAlignment="1">
      <alignment horizontal="center"/>
    </xf>
    <xf numFmtId="3" fontId="0" fillId="0" borderId="67" xfId="0" applyNumberFormat="1" applyFill="1" applyBorder="1" applyAlignment="1">
      <alignment horizontal="center"/>
    </xf>
    <xf numFmtId="3" fontId="0" fillId="0" borderId="69" xfId="0" applyNumberFormat="1" applyFill="1" applyBorder="1" applyAlignment="1">
      <alignment horizontal="center"/>
    </xf>
    <xf numFmtId="0" fontId="32" fillId="3" borderId="73" xfId="0" applyFont="1" applyFill="1" applyBorder="1" applyAlignment="1">
      <alignment horizontal="left" vertical="center"/>
    </xf>
    <xf numFmtId="3" fontId="0" fillId="11" borderId="0" xfId="0" applyNumberFormat="1" applyFill="1" applyBorder="1" applyAlignment="1">
      <alignment horizontal="center"/>
    </xf>
    <xf numFmtId="3" fontId="2" fillId="11" borderId="0" xfId="0" applyNumberFormat="1" applyFont="1" applyFill="1" applyBorder="1" applyAlignment="1">
      <alignment horizontal="center"/>
    </xf>
    <xf numFmtId="0" fontId="32" fillId="3" borderId="11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indent="1"/>
    </xf>
    <xf numFmtId="0" fontId="2" fillId="0" borderId="74" xfId="0" applyFont="1" applyBorder="1"/>
    <xf numFmtId="3" fontId="2" fillId="9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75" xfId="0" applyNumberFormat="1" applyFont="1" applyBorder="1"/>
    <xf numFmtId="3" fontId="0" fillId="0" borderId="0" xfId="0" applyNumberForma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2" fillId="0" borderId="75" xfId="0" applyNumberFormat="1" applyFont="1" applyFill="1" applyBorder="1" applyAlignment="1">
      <alignment horizontal="center"/>
    </xf>
    <xf numFmtId="173" fontId="0" fillId="0" borderId="0" xfId="1" applyNumberFormat="1" applyFont="1"/>
    <xf numFmtId="170" fontId="0" fillId="0" borderId="0" xfId="0" applyNumberFormat="1"/>
    <xf numFmtId="2" fontId="0" fillId="0" borderId="0" xfId="0" applyNumberFormat="1" applyAlignment="1">
      <alignment vertical="top"/>
    </xf>
    <xf numFmtId="170" fontId="19" fillId="11" borderId="7" xfId="1" applyNumberFormat="1" applyFont="1" applyFill="1" applyBorder="1" applyAlignment="1">
      <alignment horizontal="right" vertical="top" wrapText="1"/>
    </xf>
    <xf numFmtId="170" fontId="20" fillId="11" borderId="0" xfId="1" applyNumberFormat="1" applyFont="1" applyFill="1" applyAlignment="1">
      <alignment horizontal="right" vertical="top" wrapText="1"/>
    </xf>
    <xf numFmtId="170" fontId="17" fillId="11" borderId="0" xfId="1" applyNumberFormat="1" applyFont="1" applyFill="1" applyAlignment="1">
      <alignment horizontal="right" vertical="top" wrapText="1"/>
    </xf>
    <xf numFmtId="170" fontId="21" fillId="11" borderId="7" xfId="1" applyNumberFormat="1" applyFont="1" applyFill="1" applyBorder="1" applyAlignment="1">
      <alignment horizontal="right" vertical="top" wrapText="1"/>
    </xf>
    <xf numFmtId="170" fontId="22" fillId="11" borderId="0" xfId="1" applyNumberFormat="1" applyFont="1" applyFill="1" applyAlignment="1">
      <alignment horizontal="right" vertical="top" wrapText="1"/>
    </xf>
    <xf numFmtId="170" fontId="21" fillId="11" borderId="10" xfId="1" applyNumberFormat="1" applyFont="1" applyFill="1" applyBorder="1" applyAlignment="1">
      <alignment horizontal="right" vertical="top" wrapText="1"/>
    </xf>
    <xf numFmtId="170" fontId="21" fillId="11" borderId="0" xfId="1" applyNumberFormat="1" applyFont="1" applyFill="1" applyAlignment="1">
      <alignment horizontal="right" vertical="top" wrapText="1"/>
    </xf>
    <xf numFmtId="167" fontId="13" fillId="11" borderId="1" xfId="4" applyFont="1" applyFill="1" applyBorder="1" applyAlignment="1">
      <alignment horizontal="right" vertical="top"/>
    </xf>
    <xf numFmtId="167" fontId="14" fillId="11" borderId="0" xfId="4" applyFont="1" applyFill="1" applyAlignment="1">
      <alignment horizontal="right" vertical="top"/>
    </xf>
    <xf numFmtId="167" fontId="1" fillId="11" borderId="0" xfId="4" applyFill="1" applyAlignment="1">
      <alignment horizontal="right" vertical="top"/>
    </xf>
    <xf numFmtId="167" fontId="2" fillId="11" borderId="2" xfId="4" applyFont="1" applyFill="1" applyBorder="1" applyAlignment="1">
      <alignment horizontal="right" vertical="top"/>
    </xf>
    <xf numFmtId="167" fontId="1" fillId="11" borderId="1" xfId="4" applyFill="1" applyBorder="1" applyAlignment="1">
      <alignment horizontal="right" vertical="top"/>
    </xf>
    <xf numFmtId="167" fontId="2" fillId="11" borderId="10" xfId="4" applyFont="1" applyFill="1" applyBorder="1" applyAlignment="1">
      <alignment horizontal="right" vertical="top"/>
    </xf>
    <xf numFmtId="167" fontId="2" fillId="11" borderId="0" xfId="4" applyFont="1" applyFill="1" applyBorder="1" applyAlignment="1">
      <alignment horizontal="right" vertical="top"/>
    </xf>
    <xf numFmtId="167" fontId="1" fillId="11" borderId="0" xfId="4" applyFill="1" applyAlignment="1">
      <alignment horizontal="right" indent="1"/>
    </xf>
    <xf numFmtId="167" fontId="19" fillId="11" borderId="2" xfId="61" applyNumberFormat="1" applyFont="1" applyFill="1" applyBorder="1" applyAlignment="1">
      <alignment horizontal="center"/>
    </xf>
    <xf numFmtId="167" fontId="19" fillId="11" borderId="64" xfId="61" applyNumberFormat="1" applyFont="1" applyFill="1" applyBorder="1" applyAlignment="1">
      <alignment horizontal="center"/>
    </xf>
    <xf numFmtId="3" fontId="48" fillId="11" borderId="64" xfId="51" applyNumberFormat="1" applyFont="1" applyFill="1" applyBorder="1" applyAlignment="1">
      <alignment horizontal="center"/>
    </xf>
    <xf numFmtId="3" fontId="48" fillId="9" borderId="64" xfId="51" applyNumberFormat="1" applyFont="1" applyFill="1" applyBorder="1" applyAlignment="1">
      <alignment horizontal="center"/>
    </xf>
    <xf numFmtId="167" fontId="19" fillId="9" borderId="2" xfId="61" applyNumberFormat="1" applyFont="1" applyFill="1" applyBorder="1" applyAlignment="1">
      <alignment horizontal="center"/>
    </xf>
    <xf numFmtId="167" fontId="19" fillId="9" borderId="64" xfId="61" applyNumberFormat="1" applyFont="1" applyFill="1" applyBorder="1" applyAlignment="1">
      <alignment horizontal="center"/>
    </xf>
    <xf numFmtId="167" fontId="20" fillId="9" borderId="0" xfId="51" applyFont="1" applyFill="1" applyBorder="1" applyAlignment="1">
      <alignment horizontal="center"/>
    </xf>
    <xf numFmtId="167" fontId="20" fillId="11" borderId="0" xfId="51" applyFont="1" applyFill="1" applyBorder="1" applyAlignment="1">
      <alignment horizontal="center"/>
    </xf>
    <xf numFmtId="3" fontId="2" fillId="0" borderId="76" xfId="0" applyNumberFormat="1" applyFon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3" fontId="2" fillId="0" borderId="77" xfId="0" applyNumberFormat="1" applyFont="1" applyBorder="1" applyAlignment="1">
      <alignment horizontal="center"/>
    </xf>
    <xf numFmtId="0" fontId="4" fillId="3" borderId="41" xfId="0" applyFont="1" applyFill="1" applyBorder="1" applyAlignment="1">
      <alignment horizontal="right" vertical="center" indent="1"/>
    </xf>
    <xf numFmtId="0" fontId="37" fillId="0" borderId="67" xfId="0" applyFont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indent="1"/>
    </xf>
    <xf numFmtId="0" fontId="37" fillId="0" borderId="78" xfId="0" applyFont="1" applyBorder="1" applyAlignment="1">
      <alignment horizontal="left" vertical="center" wrapText="1"/>
    </xf>
    <xf numFmtId="0" fontId="37" fillId="0" borderId="79" xfId="0" applyFont="1" applyBorder="1" applyAlignment="1">
      <alignment horizontal="left" vertical="center" wrapText="1"/>
    </xf>
    <xf numFmtId="0" fontId="37" fillId="0" borderId="80" xfId="0" applyFont="1" applyBorder="1" applyAlignment="1">
      <alignment horizontal="left" vertical="center" wrapText="1"/>
    </xf>
    <xf numFmtId="0" fontId="4" fillId="3" borderId="81" xfId="0" applyFont="1" applyFill="1" applyBorder="1" applyAlignment="1">
      <alignment horizontal="right" vertical="center" indent="1"/>
    </xf>
    <xf numFmtId="0" fontId="4" fillId="3" borderId="82" xfId="0" applyFont="1" applyFill="1" applyBorder="1" applyAlignment="1">
      <alignment horizontal="right" vertical="center" indent="1"/>
    </xf>
    <xf numFmtId="0" fontId="4" fillId="3" borderId="13" xfId="0" applyFont="1" applyFill="1" applyBorder="1" applyAlignment="1">
      <alignment horizontal="right" vertical="center" indent="1"/>
    </xf>
    <xf numFmtId="3" fontId="0" fillId="0" borderId="47" xfId="0" applyNumberFormat="1" applyBorder="1"/>
    <xf numFmtId="3" fontId="2" fillId="0" borderId="57" xfId="0" applyNumberFormat="1" applyFont="1" applyBorder="1"/>
    <xf numFmtId="3" fontId="2" fillId="0" borderId="46" xfId="0" applyNumberFormat="1" applyFont="1" applyBorder="1"/>
    <xf numFmtId="173" fontId="0" fillId="0" borderId="52" xfId="1" applyNumberFormat="1" applyFont="1" applyBorder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 vertical="center" indent="1"/>
    </xf>
    <xf numFmtId="167" fontId="13" fillId="0" borderId="0" xfId="4" applyFont="1" applyFill="1" applyBorder="1" applyAlignment="1">
      <alignment horizontal="right"/>
    </xf>
    <xf numFmtId="167" fontId="14" fillId="0" borderId="0" xfId="4" applyFont="1" applyFill="1" applyBorder="1" applyAlignment="1">
      <alignment horizontal="right"/>
    </xf>
    <xf numFmtId="167" fontId="1" fillId="0" borderId="0" xfId="4" applyFill="1" applyBorder="1" applyAlignment="1">
      <alignment horizontal="right"/>
    </xf>
  </cellXfs>
  <cellStyles count="63">
    <cellStyle name="Ezres" xfId="1" builtinId="3"/>
    <cellStyle name="Ezres 15 3 2" xfId="26" xr:uid="{A4832EDB-577A-4ABE-A7A7-199DDA02CE18}"/>
    <cellStyle name="Ezres 15 3 2 2" xfId="43" xr:uid="{8ADA8E50-5FFA-4B35-9544-521038FEAEF8}"/>
    <cellStyle name="Ezres 2" xfId="9" xr:uid="{FD3565E6-62E9-4DCC-B33E-77FABAE781B3}"/>
    <cellStyle name="Ezres 2 2" xfId="13" xr:uid="{80E2AA8C-7663-4E4F-BF16-50EDA40F3220}"/>
    <cellStyle name="Ezres 2 2 2" xfId="45" xr:uid="{480C13B7-F76C-4B32-9E6B-F82AA2AE8486}"/>
    <cellStyle name="Ezres 2 3" xfId="18" xr:uid="{F2FA567E-A1B0-4018-8AC6-7DB6953B166B}"/>
    <cellStyle name="Ezres 2 4" xfId="20" xr:uid="{24023BDA-49A9-46A1-9918-D88123D8236C}"/>
    <cellStyle name="Ezres 2 5" xfId="34" xr:uid="{EC4A9B1A-3478-4A22-B0A0-BFBE25888DFD}"/>
    <cellStyle name="Ezres 2 6" xfId="57" xr:uid="{1F635F7D-6AD1-4261-A723-7DCDC55CC569}"/>
    <cellStyle name="Ezres 3" xfId="7" xr:uid="{24660899-AEF3-4DA4-9711-C8AD3F5F519F}"/>
    <cellStyle name="Ezres 3 2" xfId="50" xr:uid="{468E15E6-6004-4DA6-8A69-CE693CD0CD44}"/>
    <cellStyle name="Ezres 3 3" xfId="42" xr:uid="{973C6D82-64B3-4F09-88C8-F0128B0731A2}"/>
    <cellStyle name="Ezres 3 4" xfId="59" xr:uid="{0BE77E92-2047-47FD-84C8-3A6011269EA4}"/>
    <cellStyle name="Ezres 4" xfId="46" xr:uid="{430B1E83-9637-47E2-9D0C-108000F7F857}"/>
    <cellStyle name="Ezres 5" xfId="36" xr:uid="{EBCF22F5-8823-4963-9606-F3A34D5E7CCF}"/>
    <cellStyle name="Ezres 6" xfId="54" xr:uid="{D1651170-4927-4E80-A815-31CF805F8036}"/>
    <cellStyle name="Input value" xfId="2" xr:uid="{FB343DC4-ACBB-4D93-86DE-6FAFD75225FE}"/>
    <cellStyle name="Normál" xfId="0" builtinId="0"/>
    <cellStyle name="Normál 10 3" xfId="16" xr:uid="{468AD695-BEAB-4CEC-9EDC-747FB169A78A}"/>
    <cellStyle name="Normál 14" xfId="10" xr:uid="{1B521B5E-F517-4D5D-B9D6-2138AABD548F}"/>
    <cellStyle name="Normál 14 2" xfId="3" xr:uid="{3DD25A4D-16A1-4DE9-BF2B-D151B8DDAB9D}"/>
    <cellStyle name="Normál 14 3" xfId="21" xr:uid="{6396253A-6BA3-41DF-BB30-0AF342D84E86}"/>
    <cellStyle name="Normál 15" xfId="51" xr:uid="{E07F81D4-DB0A-44CA-B6B5-A7AEC487AA2D}"/>
    <cellStyle name="Normál 15 2" xfId="17" xr:uid="{F1FD0642-3A82-4AC1-9BCF-323AFCFE93AC}"/>
    <cellStyle name="Normál 15 3" xfId="4" xr:uid="{365C175D-DB80-4F17-A00E-269D374DF67A}"/>
    <cellStyle name="Normál 15 3 2" xfId="23" xr:uid="{C6B28441-3F38-4034-B302-02EC7A6F6B7F}"/>
    <cellStyle name="Normál 15 4" xfId="52" xr:uid="{039F2CAB-4BB7-4155-9F51-97BCE3357749}"/>
    <cellStyle name="Normal 2" xfId="32" xr:uid="{18076431-87DA-4EF8-B8F5-09EAAD710ABB}"/>
    <cellStyle name="Normál 2" xfId="8" xr:uid="{6C8E908C-2AE7-4817-A6A9-C09991F78149}"/>
    <cellStyle name="Normal 2 2" xfId="39" xr:uid="{CE2620C6-74D3-4D84-9D56-98FA333ABE18}"/>
    <cellStyle name="Normál 2 2" xfId="12" xr:uid="{D5EC7E42-16C9-4108-830B-2F869403BBAF}"/>
    <cellStyle name="Normál 2 2 2" xfId="22" xr:uid="{4BD0056D-EC21-4A7B-BB5C-7634B7DF8988}"/>
    <cellStyle name="Normál 2 20" xfId="27" xr:uid="{95A98216-F7A4-4F14-B373-8E07AC90E83D}"/>
    <cellStyle name="Normál 2 3" xfId="19" xr:uid="{F5FD43CA-7D37-4641-8E0E-B633B17C9784}"/>
    <cellStyle name="Normál 2 4" xfId="29" xr:uid="{CB84DA8E-B11B-412D-B142-F5AE37354CFE}"/>
    <cellStyle name="Normál 2 5" xfId="25" xr:uid="{21599BB0-F0E6-4FA2-AA1B-569B9651C772}"/>
    <cellStyle name="Normál 2 6" xfId="56" xr:uid="{27FC715B-FDE4-4AE8-931B-25FBB45170B8}"/>
    <cellStyle name="Normál 2 7" xfId="62" xr:uid="{058880B6-4ECB-4269-8DC5-614F35CE4A67}"/>
    <cellStyle name="Normál 3" xfId="6" xr:uid="{12553EAD-32A4-4294-90D1-51796BAD319D}"/>
    <cellStyle name="Normál 3 2" xfId="35" xr:uid="{9F159457-6649-417B-9EDE-8512514F3C8B}"/>
    <cellStyle name="Normál 3 3" xfId="44" xr:uid="{EE7CEC77-B6E3-4BC2-8D69-705BAB20105A}"/>
    <cellStyle name="Normál 3 4" xfId="33" xr:uid="{534CD698-500C-44BC-B452-29B5507E6121}"/>
    <cellStyle name="Normál 3 5" xfId="58" xr:uid="{29256746-F8EA-42F1-BDF4-05C57531BF8F}"/>
    <cellStyle name="Normál 4" xfId="37" xr:uid="{FF7DCBCF-364B-46ED-BB34-5B161B05884A}"/>
    <cellStyle name="Normál 4 2" xfId="47" xr:uid="{6DA2F4B7-95E0-468C-8066-4820F24E31D7}"/>
    <cellStyle name="Normál 40 3" xfId="28" xr:uid="{C0EB0BD9-56B6-4201-879A-BEA5B0D00672}"/>
    <cellStyle name="Normál 40 4 2" xfId="24" xr:uid="{7CA1EB77-477B-4AA8-9344-062B16F47F44}"/>
    <cellStyle name="Normál 40 8" xfId="40" xr:uid="{2F25B95E-A4A8-43B4-BECB-A769CF1EC0DA}"/>
    <cellStyle name="Normál 5" xfId="38" xr:uid="{A095D5FA-D832-4426-B087-531DD9CFD581}"/>
    <cellStyle name="Normál 5 2" xfId="31" xr:uid="{A4063A9B-08D7-48CB-BD0E-AA90CD362B34}"/>
    <cellStyle name="Normál 5 3" xfId="48" xr:uid="{07E26083-8920-47AF-BE64-D6C27E5A5CCD}"/>
    <cellStyle name="Normál 6" xfId="41" xr:uid="{71F87771-B5B7-4F78-83FB-8F215E04210F}"/>
    <cellStyle name="Normál 6 2" xfId="49" xr:uid="{A3BA95F7-7974-419F-A669-491016DB0C65}"/>
    <cellStyle name="Normál 7" xfId="30" xr:uid="{C5B28606-5FF6-4CD0-B84B-D35DF9D909FA}"/>
    <cellStyle name="Normál 8" xfId="53" xr:uid="{B94D7255-67E4-4561-B2C8-405FA25BA0E0}"/>
    <cellStyle name="Normál 9" xfId="61" xr:uid="{08D7C84D-723A-447A-A841-11BCD8A506F6}"/>
    <cellStyle name="Pénznem 2" xfId="14" xr:uid="{E07994DD-3F68-4F5D-B864-B3D0E35FD954}"/>
    <cellStyle name="Percent 2" xfId="60" xr:uid="{61D0941C-D201-4C59-B680-C14B1CD11BD3}"/>
    <cellStyle name="Százalék" xfId="5" builtinId="5"/>
    <cellStyle name="Százalék 2" xfId="11" xr:uid="{A7BB527B-B657-4796-8E43-471761A7C8DA}"/>
    <cellStyle name="Százalék 2 2" xfId="15" xr:uid="{EA5FB4BA-6E25-4B45-8640-F36421EB5FC5}"/>
    <cellStyle name="Százalék 3" xfId="55" xr:uid="{84F7D518-0561-4FDE-930B-FB57286CEFC8}"/>
  </cellStyles>
  <dxfs count="0"/>
  <tableStyles count="0" defaultTableStyle="TableStyleMedium2" defaultPivotStyle="PivotStyleLight16"/>
  <colors>
    <mruColors>
      <color rgb="FF5CD2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ozsde\Tozsde\Jelent&#233;sek\2017_&#201;ves_jelent&#233;s\H&#225;tt&#233;r\Mancom_2017Q4_ppt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ontrolling\Kontrolling_hatter\Kontrolling\2017\&#201;ves%20jelent&#233;s,%20mancom\Szegmens%20bont&#225;s%20Gerg&#337;%20alapj&#225;n_2016F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bev_EBITDA_szegmens"/>
      <sheetName val="Szegmens eredményesség EBITDA"/>
      <sheetName val="P&amp;L_Balance_konsz"/>
      <sheetName val="Szegmens eredményesség"/>
      <sheetName val="forgalmi ktg"/>
      <sheetName val="PL IFRS konsz"/>
    </sheetNames>
    <sheetDataSet>
      <sheetData sheetId="0">
        <row r="4">
          <cell r="I4">
            <v>9557.5337209999998</v>
          </cell>
          <cell r="J4">
            <v>8291.0161179999996</v>
          </cell>
        </row>
        <row r="5">
          <cell r="J5">
            <v>-6776.3561400000017</v>
          </cell>
        </row>
        <row r="6">
          <cell r="J6"/>
        </row>
        <row r="7">
          <cell r="J7">
            <v>-5.6425939999999999</v>
          </cell>
        </row>
        <row r="8">
          <cell r="J8">
            <v>87.663867999999994</v>
          </cell>
        </row>
        <row r="14">
          <cell r="I14">
            <v>837.77375500000005</v>
          </cell>
          <cell r="J14">
            <v>1015.4943420000001</v>
          </cell>
        </row>
        <row r="15">
          <cell r="J15">
            <v>-223.04337300000003</v>
          </cell>
        </row>
        <row r="16">
          <cell r="J16">
            <v>-103.30468400000001</v>
          </cell>
        </row>
        <row r="17">
          <cell r="J17">
            <v>23.519332000000002</v>
          </cell>
        </row>
        <row r="23">
          <cell r="I23">
            <v>6216.3799730000001</v>
          </cell>
          <cell r="J23">
            <v>3897.1971610000001</v>
          </cell>
        </row>
        <row r="24">
          <cell r="J24">
            <v>-1800.7743130000001</v>
          </cell>
        </row>
        <row r="25">
          <cell r="J25"/>
        </row>
        <row r="26">
          <cell r="J26">
            <v>-1261.30053</v>
          </cell>
        </row>
        <row r="27">
          <cell r="J27">
            <v>-71.540114000000003</v>
          </cell>
        </row>
        <row r="33">
          <cell r="I33">
            <v>5120.8255200000003</v>
          </cell>
          <cell r="J33">
            <v>3091.856252</v>
          </cell>
        </row>
        <row r="34">
          <cell r="J34">
            <v>-2895.5560010000004</v>
          </cell>
        </row>
        <row r="35">
          <cell r="J35"/>
        </row>
        <row r="36">
          <cell r="J36">
            <v>-49.740025000000003</v>
          </cell>
        </row>
        <row r="37">
          <cell r="J37">
            <v>-20.953004999999997</v>
          </cell>
        </row>
        <row r="43">
          <cell r="K43">
            <v>729.72434799999996</v>
          </cell>
        </row>
        <row r="44">
          <cell r="K44">
            <v>-772.36667299999988</v>
          </cell>
        </row>
        <row r="45">
          <cell r="K45">
            <v>-772.48173900000006</v>
          </cell>
        </row>
        <row r="46">
          <cell r="K46">
            <v>-69.801151000000019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Sheet1"/>
      <sheetName val="KÁT"/>
      <sheetName val="Egyéb"/>
      <sheetName val="Enkisker"/>
      <sheetName val="Eterm"/>
      <sheetName val="Enszolg"/>
    </sheetNames>
    <sheetDataSet>
      <sheetData sheetId="0"/>
      <sheetData sheetId="1">
        <row r="37">
          <cell r="R37">
            <v>-233844.00899999985</v>
          </cell>
          <cell r="S37">
            <v>1125849.6340000001</v>
          </cell>
          <cell r="T37">
            <v>0</v>
          </cell>
          <cell r="U37">
            <v>-1122240.041</v>
          </cell>
          <cell r="V37">
            <v>155466.23300000024</v>
          </cell>
          <cell r="W37">
            <v>0</v>
          </cell>
          <cell r="X37">
            <v>74743.251999999862</v>
          </cell>
        </row>
      </sheetData>
      <sheetData sheetId="2">
        <row r="35">
          <cell r="C35">
            <v>0</v>
          </cell>
        </row>
      </sheetData>
      <sheetData sheetId="3">
        <row r="35">
          <cell r="C35">
            <v>-641320.09100000001</v>
          </cell>
        </row>
      </sheetData>
      <sheetData sheetId="4">
        <row r="35">
          <cell r="C35">
            <v>-114094.0549999997</v>
          </cell>
        </row>
      </sheetData>
      <sheetData sheetId="5">
        <row r="35">
          <cell r="C35">
            <v>-1177708.7340000002</v>
          </cell>
        </row>
      </sheetData>
      <sheetData sheetId="6">
        <row r="35">
          <cell r="C35">
            <v>-1143946.6340000001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3601-63D7-4A4D-BAA7-CF2A8435FD79}">
  <dimension ref="A2:W184"/>
  <sheetViews>
    <sheetView showGridLines="0" tabSelected="1" topLeftCell="A52" workbookViewId="0">
      <selection activeCell="W184" sqref="W130:W184"/>
    </sheetView>
  </sheetViews>
  <sheetFormatPr defaultColWidth="8.77734375" defaultRowHeight="14.4" outlineLevelRow="1" outlineLevelCol="1" x14ac:dyDescent="0.3"/>
  <cols>
    <col min="1" max="1" width="13.77734375" customWidth="1"/>
    <col min="2" max="2" width="46.33203125" bestFit="1" customWidth="1"/>
    <col min="3" max="3" width="33.44140625" customWidth="1"/>
    <col min="4" max="5" width="9.109375" customWidth="1" outlineLevel="1"/>
    <col min="6" max="6" width="9.6640625" customWidth="1" outlineLevel="1"/>
    <col min="7" max="7" width="9.77734375" customWidth="1" outlineLevel="1" collapsed="1"/>
    <col min="8" max="8" width="9.33203125" customWidth="1" outlineLevel="1"/>
    <col min="9" max="10" width="9.44140625" customWidth="1" outlineLevel="1"/>
    <col min="11" max="12" width="9.109375" customWidth="1" outlineLevel="1"/>
    <col min="13" max="13" width="8.77734375" customWidth="1" outlineLevel="1" collapsed="1"/>
    <col min="14" max="15" width="8.77734375" customWidth="1" outlineLevel="1"/>
    <col min="16" max="16" width="12.44140625" customWidth="1" outlineLevel="1"/>
    <col min="23" max="23" width="9.77734375" bestFit="1" customWidth="1"/>
  </cols>
  <sheetData>
    <row r="2" spans="1:22" x14ac:dyDescent="0.3">
      <c r="D2" s="418" t="s">
        <v>94</v>
      </c>
      <c r="E2" s="418"/>
      <c r="F2" s="418"/>
      <c r="G2" s="418"/>
      <c r="H2" s="418"/>
      <c r="M2" s="418" t="s">
        <v>95</v>
      </c>
      <c r="N2" s="418"/>
      <c r="O2" s="418"/>
      <c r="P2" s="418"/>
      <c r="Q2" s="418"/>
    </row>
    <row r="3" spans="1:22" x14ac:dyDescent="0.3">
      <c r="N3">
        <v>296.91000000000003</v>
      </c>
      <c r="O3">
        <v>314.89</v>
      </c>
      <c r="P3">
        <v>313.12</v>
      </c>
      <c r="Q3">
        <v>311.02</v>
      </c>
      <c r="R3">
        <v>310.14</v>
      </c>
      <c r="S3">
        <v>321.51</v>
      </c>
      <c r="T3">
        <v>330.52</v>
      </c>
      <c r="U3">
        <v>365.13</v>
      </c>
      <c r="V3">
        <v>369</v>
      </c>
    </row>
    <row r="4" spans="1:22" x14ac:dyDescent="0.3">
      <c r="A4" s="1" t="s">
        <v>0</v>
      </c>
      <c r="B4" s="153"/>
      <c r="C4" s="153" t="s">
        <v>1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  <c r="N4" s="3">
        <v>2013</v>
      </c>
      <c r="O4" s="3">
        <v>2014</v>
      </c>
      <c r="P4" s="3">
        <v>2015</v>
      </c>
      <c r="Q4" s="3">
        <v>2016</v>
      </c>
      <c r="R4" s="3">
        <v>2017</v>
      </c>
      <c r="S4" s="3">
        <v>2018</v>
      </c>
      <c r="T4" s="3">
        <v>2019</v>
      </c>
      <c r="U4" s="3">
        <v>2020</v>
      </c>
      <c r="V4" s="3">
        <v>2021</v>
      </c>
    </row>
    <row r="5" spans="1:22" x14ac:dyDescent="0.3">
      <c r="B5" s="153" t="s">
        <v>93</v>
      </c>
      <c r="C5" s="154" t="s">
        <v>471</v>
      </c>
      <c r="D5" s="3" t="s">
        <v>3</v>
      </c>
      <c r="E5" s="3" t="s">
        <v>3</v>
      </c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3</v>
      </c>
      <c r="L5" s="3" t="s">
        <v>3</v>
      </c>
      <c r="N5" s="3" t="s">
        <v>3</v>
      </c>
      <c r="O5" s="3" t="s">
        <v>3</v>
      </c>
      <c r="P5" s="3" t="s">
        <v>3</v>
      </c>
      <c r="Q5" s="3" t="s">
        <v>3</v>
      </c>
      <c r="R5" s="3" t="s">
        <v>3</v>
      </c>
      <c r="S5" s="3" t="s">
        <v>3</v>
      </c>
      <c r="T5" s="3" t="s">
        <v>3</v>
      </c>
      <c r="U5" s="3" t="s">
        <v>3</v>
      </c>
      <c r="V5" s="3" t="s">
        <v>3</v>
      </c>
    </row>
    <row r="6" spans="1:22" x14ac:dyDescent="0.3">
      <c r="B6" s="155" t="s">
        <v>4</v>
      </c>
      <c r="C6" s="156" t="s">
        <v>5</v>
      </c>
      <c r="D6" s="7">
        <f t="shared" ref="D6:G6" si="0">SUM(D7:D17)</f>
        <v>6458.8820000000005</v>
      </c>
      <c r="E6" s="7">
        <f t="shared" si="0"/>
        <v>6189.7640000000001</v>
      </c>
      <c r="F6" s="7">
        <f t="shared" si="0"/>
        <v>7909.6419999999998</v>
      </c>
      <c r="G6" s="7">
        <f t="shared" si="0"/>
        <v>6666.4420000000009</v>
      </c>
      <c r="H6" s="7">
        <f>SUM(H7:H17)</f>
        <v>7546.1149999999998</v>
      </c>
      <c r="I6" s="7">
        <f>SUM(I7:I17)</f>
        <v>13715.608</v>
      </c>
      <c r="J6" s="7">
        <f>SUM(J7:J17)</f>
        <v>24536.760999999999</v>
      </c>
      <c r="K6" s="7">
        <f>SUM(K7:K17)</f>
        <v>31065.255000000001</v>
      </c>
      <c r="L6" s="7">
        <f>SUM(L7:L17)</f>
        <v>31370.772000000001</v>
      </c>
      <c r="N6" s="7">
        <f t="shared" ref="N6" si="1">SUM(N7:N17)</f>
        <v>21753.669462126567</v>
      </c>
      <c r="O6" s="7">
        <f t="shared" ref="O6" si="2">SUM(O7:O17)</f>
        <v>19656.908761789829</v>
      </c>
      <c r="P6" s="7">
        <f t="shared" ref="P6" si="3">SUM(P7:P17)</f>
        <v>25260.737097598369</v>
      </c>
      <c r="Q6" s="7">
        <f t="shared" ref="Q6" si="4">SUM(Q7:Q17)</f>
        <v>21290.37429739397</v>
      </c>
      <c r="R6" s="7">
        <f>SUM(R7:R17)</f>
        <v>24262.47508198829</v>
      </c>
      <c r="S6" s="7">
        <f>IFERROR(I6/R$3*1000,0)</f>
        <v>44223.924679177144</v>
      </c>
      <c r="T6" s="7">
        <f t="shared" ref="T6:V12" si="5">IFERROR(J6/T$3*1000,0)</f>
        <v>74236.841946024448</v>
      </c>
      <c r="U6" s="7">
        <f t="shared" si="5"/>
        <v>85079.985210746861</v>
      </c>
      <c r="V6" s="7">
        <f t="shared" si="5"/>
        <v>85015.642276422761</v>
      </c>
    </row>
    <row r="7" spans="1:22" outlineLevel="1" x14ac:dyDescent="0.3">
      <c r="B7" s="157" t="s">
        <v>6</v>
      </c>
      <c r="C7" s="157" t="s">
        <v>7</v>
      </c>
      <c r="D7" s="9">
        <v>5858.9740000000002</v>
      </c>
      <c r="E7" s="9">
        <v>5669.8789999999999</v>
      </c>
      <c r="F7" s="9">
        <v>5482.37</v>
      </c>
      <c r="G7" s="9">
        <v>5012.8900000000003</v>
      </c>
      <c r="H7" s="9">
        <v>5850.5119999999997</v>
      </c>
      <c r="I7" s="9">
        <v>10715.944</v>
      </c>
      <c r="J7" s="9">
        <v>17711.706999999999</v>
      </c>
      <c r="K7" s="9">
        <v>25435.922999999999</v>
      </c>
      <c r="L7" s="9">
        <v>25738.088</v>
      </c>
      <c r="N7" s="9">
        <f t="shared" ref="N7:P12" si="6">IFERROR(D7/N$3*1000,0)</f>
        <v>19733.164932134314</v>
      </c>
      <c r="O7" s="9">
        <f t="shared" si="6"/>
        <v>18005.903648893265</v>
      </c>
      <c r="P7" s="9">
        <f t="shared" si="6"/>
        <v>17508.846448645887</v>
      </c>
      <c r="Q7" s="9">
        <f t="shared" ref="Q7:R12" si="7">IFERROR(G7/P$3*1000,0)</f>
        <v>16009.485181400101</v>
      </c>
      <c r="R7" s="9">
        <f t="shared" si="7"/>
        <v>18810.725998328082</v>
      </c>
      <c r="S7" s="9">
        <f>IFERROR(I7/S$3*1000,0)</f>
        <v>33330.048832073648</v>
      </c>
      <c r="T7" s="9">
        <f t="shared" si="5"/>
        <v>53587.398644560082</v>
      </c>
      <c r="U7" s="9">
        <f t="shared" si="5"/>
        <v>69662.648919562896</v>
      </c>
      <c r="V7" s="9">
        <f t="shared" si="5"/>
        <v>69750.915989159897</v>
      </c>
    </row>
    <row r="8" spans="1:22" outlineLevel="1" x14ac:dyDescent="0.3">
      <c r="B8" s="157" t="s">
        <v>8</v>
      </c>
      <c r="C8" s="157" t="s">
        <v>9</v>
      </c>
      <c r="D8" s="9">
        <v>11.135</v>
      </c>
      <c r="E8" s="9">
        <v>6.2030000000000003</v>
      </c>
      <c r="F8" s="9">
        <v>22.283999999999999</v>
      </c>
      <c r="G8" s="9">
        <v>31.811</v>
      </c>
      <c r="H8" s="9">
        <v>33.707999999999998</v>
      </c>
      <c r="I8" s="9">
        <v>38.107999999999997</v>
      </c>
      <c r="J8" s="9">
        <v>73.105000000000004</v>
      </c>
      <c r="K8" s="9">
        <v>87.369</v>
      </c>
      <c r="L8" s="9">
        <v>0</v>
      </c>
      <c r="N8" s="9">
        <f t="shared" si="6"/>
        <v>37.502947020982788</v>
      </c>
      <c r="O8" s="9">
        <f t="shared" si="6"/>
        <v>19.698942487852904</v>
      </c>
      <c r="P8" s="9">
        <f t="shared" si="6"/>
        <v>71.167603474706169</v>
      </c>
      <c r="Q8" s="9">
        <f t="shared" si="7"/>
        <v>101.593638221768</v>
      </c>
      <c r="R8" s="9">
        <f t="shared" si="7"/>
        <v>108.37888238698476</v>
      </c>
      <c r="S8" s="9">
        <f>IFERROR(I8/R$3*1000,0)</f>
        <v>122.87354098149223</v>
      </c>
      <c r="T8" s="9">
        <f t="shared" si="5"/>
        <v>221.18177417402882</v>
      </c>
      <c r="U8" s="9">
        <f t="shared" si="5"/>
        <v>239.28189959740368</v>
      </c>
      <c r="V8" s="9">
        <f t="shared" si="5"/>
        <v>0</v>
      </c>
    </row>
    <row r="9" spans="1:22" outlineLevel="1" x14ac:dyDescent="0.3">
      <c r="B9" s="157" t="s">
        <v>10</v>
      </c>
      <c r="C9" s="158" t="s">
        <v>11</v>
      </c>
      <c r="D9" s="9" t="s">
        <v>12</v>
      </c>
      <c r="E9" s="9" t="s">
        <v>12</v>
      </c>
      <c r="F9" s="9">
        <v>1298.8</v>
      </c>
      <c r="G9" s="9">
        <v>729.721</v>
      </c>
      <c r="H9" s="9">
        <v>482.09199999999998</v>
      </c>
      <c r="I9" s="9">
        <v>253.77199999999999</v>
      </c>
      <c r="J9" s="9">
        <v>104.376</v>
      </c>
      <c r="K9" s="9">
        <v>0</v>
      </c>
      <c r="L9" s="9">
        <v>0</v>
      </c>
      <c r="N9" s="9">
        <f t="shared" si="6"/>
        <v>0</v>
      </c>
      <c r="O9" s="9">
        <f t="shared" si="6"/>
        <v>0</v>
      </c>
      <c r="P9" s="9">
        <f t="shared" si="6"/>
        <v>4147.9305058763412</v>
      </c>
      <c r="Q9" s="9">
        <f t="shared" si="7"/>
        <v>2330.483520694941</v>
      </c>
      <c r="R9" s="9">
        <f t="shared" si="7"/>
        <v>1550.0353675004824</v>
      </c>
      <c r="S9" s="9">
        <f>IFERROR(I9/R$3*1000,0)</f>
        <v>818.24982266073391</v>
      </c>
      <c r="T9" s="9">
        <f t="shared" si="5"/>
        <v>315.79329541328821</v>
      </c>
      <c r="U9" s="9">
        <f t="shared" si="5"/>
        <v>0</v>
      </c>
      <c r="V9" s="9">
        <f t="shared" si="5"/>
        <v>0</v>
      </c>
    </row>
    <row r="10" spans="1:22" outlineLevel="1" x14ac:dyDescent="0.3">
      <c r="B10" s="157" t="s">
        <v>13</v>
      </c>
      <c r="C10" s="157" t="s">
        <v>14</v>
      </c>
      <c r="D10" s="9">
        <v>36.223999999999997</v>
      </c>
      <c r="E10" s="9">
        <v>70.432000000000002</v>
      </c>
      <c r="F10" s="9">
        <v>182.43</v>
      </c>
      <c r="G10" s="9">
        <v>46.723999999999997</v>
      </c>
      <c r="H10" s="9">
        <v>54.981000000000002</v>
      </c>
      <c r="I10" s="9">
        <v>4.0190000000000001</v>
      </c>
      <c r="J10" s="9">
        <v>342.1</v>
      </c>
      <c r="K10" s="9">
        <v>0</v>
      </c>
      <c r="L10" s="9">
        <v>0</v>
      </c>
      <c r="N10" s="9">
        <f t="shared" si="6"/>
        <v>122.00330066350071</v>
      </c>
      <c r="O10" s="9">
        <f t="shared" si="6"/>
        <v>223.67175839181937</v>
      </c>
      <c r="P10" s="9">
        <f t="shared" si="6"/>
        <v>582.6200817577926</v>
      </c>
      <c r="Q10" s="9">
        <f t="shared" si="7"/>
        <v>149.22074603985692</v>
      </c>
      <c r="R10" s="9">
        <f t="shared" si="7"/>
        <v>176.77641309240565</v>
      </c>
      <c r="S10" s="9">
        <f>IFERROR(I10/R$3*1000,0)</f>
        <v>12.958663829238409</v>
      </c>
      <c r="T10" s="9">
        <f t="shared" si="5"/>
        <v>1035.0357013191335</v>
      </c>
      <c r="U10" s="9">
        <f t="shared" si="5"/>
        <v>0</v>
      </c>
      <c r="V10" s="9">
        <f t="shared" si="5"/>
        <v>0</v>
      </c>
    </row>
    <row r="11" spans="1:22" outlineLevel="1" x14ac:dyDescent="0.3">
      <c r="B11" s="157" t="s">
        <v>15</v>
      </c>
      <c r="C11" s="157" t="s">
        <v>16</v>
      </c>
      <c r="D11" s="9">
        <v>362.28</v>
      </c>
      <c r="E11" s="9">
        <v>284.947</v>
      </c>
      <c r="F11" s="9">
        <v>247.43700000000001</v>
      </c>
      <c r="G11" s="9">
        <v>218.41800000000001</v>
      </c>
      <c r="H11" s="9">
        <v>420.62099999999998</v>
      </c>
      <c r="I11" s="9">
        <v>868.52599999999995</v>
      </c>
      <c r="J11" s="9">
        <v>3492.357</v>
      </c>
      <c r="K11" s="9">
        <v>3037.2689999999998</v>
      </c>
      <c r="L11" s="9">
        <v>2516.8200000000002</v>
      </c>
      <c r="M11" s="12"/>
      <c r="N11" s="9">
        <f t="shared" si="6"/>
        <v>1220.1677275942202</v>
      </c>
      <c r="O11" s="9">
        <f t="shared" si="6"/>
        <v>904.90965098923436</v>
      </c>
      <c r="P11" s="9">
        <f t="shared" si="6"/>
        <v>790.23058252427188</v>
      </c>
      <c r="Q11" s="9">
        <f t="shared" si="7"/>
        <v>697.55365355135416</v>
      </c>
      <c r="R11" s="9">
        <f t="shared" si="7"/>
        <v>1352.392129123529</v>
      </c>
      <c r="S11" s="9">
        <f>IFERROR(I11/R$3*1000,0)</f>
        <v>2800.4320629393173</v>
      </c>
      <c r="T11" s="9">
        <f t="shared" si="5"/>
        <v>10566.250151276776</v>
      </c>
      <c r="U11" s="9">
        <f t="shared" si="5"/>
        <v>8318.3222413934764</v>
      </c>
      <c r="V11" s="9">
        <f t="shared" si="5"/>
        <v>6820.6504065040654</v>
      </c>
    </row>
    <row r="12" spans="1:22" outlineLevel="1" x14ac:dyDescent="0.3">
      <c r="B12" s="157" t="s">
        <v>17</v>
      </c>
      <c r="C12" s="157" t="s">
        <v>18</v>
      </c>
      <c r="D12" s="9" t="s">
        <v>12</v>
      </c>
      <c r="E12" s="9" t="s">
        <v>12</v>
      </c>
      <c r="F12" s="9">
        <v>495.53100000000001</v>
      </c>
      <c r="G12" s="9">
        <v>367.85399999999998</v>
      </c>
      <c r="H12" s="9">
        <v>283.64</v>
      </c>
      <c r="I12" s="9">
        <v>1476.732</v>
      </c>
      <c r="J12" s="9">
        <v>1407.741</v>
      </c>
      <c r="K12" s="9">
        <v>1212.9870000000001</v>
      </c>
      <c r="L12" s="9">
        <v>1052.2159999999999</v>
      </c>
      <c r="N12" s="9">
        <f t="shared" si="6"/>
        <v>0</v>
      </c>
      <c r="O12" s="9">
        <f t="shared" si="6"/>
        <v>0</v>
      </c>
      <c r="P12" s="9">
        <f t="shared" si="6"/>
        <v>1582.559402146142</v>
      </c>
      <c r="Q12" s="9">
        <f t="shared" si="7"/>
        <v>1174.8019928461931</v>
      </c>
      <c r="R12" s="9">
        <f t="shared" si="7"/>
        <v>911.96707607227836</v>
      </c>
      <c r="S12" s="9">
        <f>IFERROR(I12/R$3*1000,0)</f>
        <v>4761.501257496614</v>
      </c>
      <c r="T12" s="9">
        <f t="shared" si="5"/>
        <v>4259.1703981604742</v>
      </c>
      <c r="U12" s="9">
        <f t="shared" si="5"/>
        <v>3322.0688521896313</v>
      </c>
      <c r="V12" s="9">
        <f t="shared" si="5"/>
        <v>2851.5338753387528</v>
      </c>
    </row>
    <row r="13" spans="1:22" outlineLevel="1" x14ac:dyDescent="0.3">
      <c r="B13" s="97" t="s">
        <v>284</v>
      </c>
      <c r="C13" s="97" t="s">
        <v>308</v>
      </c>
      <c r="D13" s="9"/>
      <c r="E13" s="9"/>
      <c r="F13" s="9"/>
      <c r="G13" s="9"/>
      <c r="H13" s="9"/>
      <c r="I13" s="9"/>
      <c r="J13" s="9">
        <v>924.76800000000003</v>
      </c>
      <c r="K13" s="9">
        <v>1063.615</v>
      </c>
      <c r="L13" s="9">
        <v>1766.502</v>
      </c>
      <c r="N13" s="9"/>
      <c r="O13" s="9"/>
      <c r="P13" s="9"/>
      <c r="Q13" s="9"/>
      <c r="R13" s="9"/>
      <c r="S13" s="9"/>
      <c r="T13" s="9"/>
      <c r="U13" s="9"/>
      <c r="V13" s="9"/>
    </row>
    <row r="14" spans="1:22" outlineLevel="1" x14ac:dyDescent="0.3">
      <c r="B14" s="157" t="s">
        <v>19</v>
      </c>
      <c r="C14" s="157" t="s">
        <v>19</v>
      </c>
      <c r="D14" s="9">
        <v>75.838999999999999</v>
      </c>
      <c r="E14" s="9">
        <v>75.838999999999999</v>
      </c>
      <c r="F14" s="9">
        <v>75.838999999999999</v>
      </c>
      <c r="G14" s="9">
        <v>0</v>
      </c>
      <c r="H14" s="11" t="s">
        <v>20</v>
      </c>
      <c r="I14" s="11">
        <v>0</v>
      </c>
      <c r="J14" s="11">
        <v>0</v>
      </c>
      <c r="K14" s="11">
        <v>0</v>
      </c>
      <c r="L14" s="11">
        <v>0</v>
      </c>
      <c r="N14" s="9">
        <f t="shared" ref="N14:P17" si="8">IFERROR(D14/N$3*1000,0)</f>
        <v>255.42757064430293</v>
      </c>
      <c r="O14" s="9">
        <f t="shared" si="8"/>
        <v>240.84283400552576</v>
      </c>
      <c r="P14" s="9">
        <f t="shared" si="8"/>
        <v>242.20426673479815</v>
      </c>
      <c r="Q14" s="9">
        <f t="shared" ref="Q14:S17" si="9">IFERROR(G14/P$3*1000,0)</f>
        <v>0</v>
      </c>
      <c r="R14" s="9">
        <f t="shared" si="9"/>
        <v>0</v>
      </c>
      <c r="S14" s="9">
        <f t="shared" si="9"/>
        <v>0</v>
      </c>
      <c r="T14" s="9">
        <f t="shared" ref="T14:V17" si="10">IFERROR(J14/T$3*1000,0)</f>
        <v>0</v>
      </c>
      <c r="U14" s="9">
        <f t="shared" si="10"/>
        <v>0</v>
      </c>
      <c r="V14" s="9">
        <f t="shared" si="10"/>
        <v>0</v>
      </c>
    </row>
    <row r="15" spans="1:22" outlineLevel="1" x14ac:dyDescent="0.3">
      <c r="B15" s="157" t="s">
        <v>21</v>
      </c>
      <c r="C15" s="157" t="s">
        <v>22</v>
      </c>
      <c r="D15" s="9">
        <v>114.43</v>
      </c>
      <c r="E15" s="9">
        <v>82.463999999999999</v>
      </c>
      <c r="F15" s="9">
        <v>99.850999999999999</v>
      </c>
      <c r="G15" s="9">
        <v>72.89</v>
      </c>
      <c r="H15" s="9">
        <v>234.875</v>
      </c>
      <c r="I15" s="9">
        <v>139.756</v>
      </c>
      <c r="J15" s="9">
        <v>286.85599999999999</v>
      </c>
      <c r="K15" s="9">
        <v>132.81100000000001</v>
      </c>
      <c r="L15" s="9">
        <v>71.394999999999996</v>
      </c>
      <c r="N15" s="9">
        <f t="shared" si="8"/>
        <v>385.40298406924654</v>
      </c>
      <c r="O15" s="9">
        <f t="shared" si="8"/>
        <v>261.88192702213468</v>
      </c>
      <c r="P15" s="9">
        <f t="shared" si="8"/>
        <v>318.89052120592743</v>
      </c>
      <c r="Q15" s="9">
        <f t="shared" si="9"/>
        <v>232.7861522738886</v>
      </c>
      <c r="R15" s="9">
        <f t="shared" si="9"/>
        <v>755.17651597967983</v>
      </c>
      <c r="S15" s="9">
        <f t="shared" si="9"/>
        <v>450.62229960662933</v>
      </c>
      <c r="T15" s="9">
        <f t="shared" si="10"/>
        <v>867.89301706402034</v>
      </c>
      <c r="U15" s="9">
        <f t="shared" si="10"/>
        <v>363.73620354394325</v>
      </c>
      <c r="V15" s="9">
        <f t="shared" si="10"/>
        <v>193.48238482384821</v>
      </c>
    </row>
    <row r="16" spans="1:22" outlineLevel="1" x14ac:dyDescent="0.3">
      <c r="B16" s="157" t="s">
        <v>23</v>
      </c>
      <c r="C16" s="157" t="s">
        <v>24</v>
      </c>
      <c r="D16" s="9">
        <v>0</v>
      </c>
      <c r="E16" s="9" t="s">
        <v>12</v>
      </c>
      <c r="F16" s="9">
        <v>5.0999999999999996</v>
      </c>
      <c r="G16" s="9">
        <v>186.03399999999999</v>
      </c>
      <c r="H16" s="9">
        <v>185.58600000000001</v>
      </c>
      <c r="I16" s="9">
        <v>218.65100000000001</v>
      </c>
      <c r="J16" s="9">
        <v>193.65100000000001</v>
      </c>
      <c r="K16" s="11">
        <v>95.180999999999997</v>
      </c>
      <c r="L16" s="11">
        <v>225.65100000000001</v>
      </c>
      <c r="N16" s="9">
        <f t="shared" si="8"/>
        <v>0</v>
      </c>
      <c r="O16" s="9">
        <f t="shared" si="8"/>
        <v>0</v>
      </c>
      <c r="P16" s="9">
        <f t="shared" si="8"/>
        <v>16.28768523249872</v>
      </c>
      <c r="Q16" s="9">
        <f t="shared" si="9"/>
        <v>594.1300459887583</v>
      </c>
      <c r="R16" s="9">
        <f t="shared" si="9"/>
        <v>596.70117677319786</v>
      </c>
      <c r="S16" s="9">
        <f t="shared" si="9"/>
        <v>705.00741600567494</v>
      </c>
      <c r="T16" s="9">
        <f t="shared" si="10"/>
        <v>585.89797894227286</v>
      </c>
      <c r="U16" s="9">
        <f t="shared" si="10"/>
        <v>260.67701914386652</v>
      </c>
      <c r="V16" s="9">
        <f t="shared" si="10"/>
        <v>611.52032520325201</v>
      </c>
    </row>
    <row r="17" spans="2:22" outlineLevel="1" x14ac:dyDescent="0.3">
      <c r="B17" s="157" t="s">
        <v>25</v>
      </c>
      <c r="C17" s="157" t="s">
        <v>304</v>
      </c>
      <c r="D17" s="9">
        <v>0</v>
      </c>
      <c r="E17" s="9">
        <v>0</v>
      </c>
      <c r="F17" s="9">
        <v>0</v>
      </c>
      <c r="G17" s="9">
        <v>0.1</v>
      </c>
      <c r="H17" s="9">
        <v>0.1</v>
      </c>
      <c r="I17" s="9">
        <v>0.1</v>
      </c>
      <c r="J17" s="9">
        <v>0.1</v>
      </c>
      <c r="K17" s="9">
        <v>0.1</v>
      </c>
      <c r="L17" s="9">
        <v>0.1</v>
      </c>
      <c r="N17" s="9">
        <f t="shared" si="8"/>
        <v>0</v>
      </c>
      <c r="O17" s="9">
        <f t="shared" si="8"/>
        <v>0</v>
      </c>
      <c r="P17" s="9">
        <f t="shared" si="8"/>
        <v>0</v>
      </c>
      <c r="Q17" s="9">
        <f t="shared" si="9"/>
        <v>0.31936637710781807</v>
      </c>
      <c r="R17" s="9">
        <f t="shared" si="9"/>
        <v>0.32152273165712819</v>
      </c>
      <c r="S17" s="9">
        <f t="shared" si="9"/>
        <v>0.32243502934158769</v>
      </c>
      <c r="T17" s="9">
        <f t="shared" si="10"/>
        <v>0.30255355197870026</v>
      </c>
      <c r="U17" s="9">
        <f t="shared" si="10"/>
        <v>0.27387505819844987</v>
      </c>
      <c r="V17" s="9">
        <f t="shared" si="10"/>
        <v>0.27100271002710025</v>
      </c>
    </row>
    <row r="18" spans="2:22" outlineLevel="1" collapsed="1" x14ac:dyDescent="0.3">
      <c r="B18" s="157"/>
      <c r="C18" s="157"/>
      <c r="D18" s="12"/>
      <c r="E18" s="12"/>
      <c r="F18" s="12"/>
      <c r="G18" s="12"/>
      <c r="H18" s="12"/>
      <c r="I18" s="12"/>
      <c r="J18" s="12"/>
      <c r="K18" s="12"/>
      <c r="L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2:22" x14ac:dyDescent="0.3">
      <c r="B19" s="156" t="s">
        <v>26</v>
      </c>
      <c r="C19" s="156" t="s">
        <v>27</v>
      </c>
      <c r="D19" s="13">
        <f t="shared" ref="D19:K19" si="11">SUM(D20:D29)</f>
        <v>2077.7199999999998</v>
      </c>
      <c r="E19" s="13">
        <f t="shared" si="11"/>
        <v>3598.5430000000001</v>
      </c>
      <c r="F19" s="13">
        <f t="shared" si="11"/>
        <v>6029.5740000000005</v>
      </c>
      <c r="G19" s="13">
        <f t="shared" si="11"/>
        <v>9481.3909999999996</v>
      </c>
      <c r="H19" s="13">
        <f t="shared" si="11"/>
        <v>9106.0049999999992</v>
      </c>
      <c r="I19" s="13">
        <f t="shared" si="11"/>
        <v>9143.49</v>
      </c>
      <c r="J19" s="13">
        <f t="shared" si="11"/>
        <v>13037.745999999999</v>
      </c>
      <c r="K19" s="13">
        <f t="shared" si="11"/>
        <v>13819.105</v>
      </c>
      <c r="L19" s="13">
        <f t="shared" ref="L19" si="12">SUM(L20:L29)</f>
        <v>29389.976000000002</v>
      </c>
      <c r="N19" s="13">
        <f>SUM(N20:N29)</f>
        <v>6997.8107844127844</v>
      </c>
      <c r="O19" s="13">
        <f>SUM(O20:O29)</f>
        <v>11427.936739813904</v>
      </c>
      <c r="P19" s="13">
        <f>SUM(P20:P29)</f>
        <v>19256.432038834948</v>
      </c>
      <c r="Q19" s="13">
        <f>SUM(Q20:Q29)</f>
        <v>30280.374936126726</v>
      </c>
      <c r="R19" s="13">
        <f>SUM(R20:R29)</f>
        <v>29277.876020834676</v>
      </c>
      <c r="S19" s="13">
        <f>IFERROR(I19/R$3*1000,0)</f>
        <v>29481.814664345133</v>
      </c>
      <c r="T19" s="13">
        <f t="shared" ref="T19:V22" si="13">IFERROR(J19/T$3*1000,0)</f>
        <v>39446.163620960913</v>
      </c>
      <c r="U19" s="13">
        <f t="shared" si="13"/>
        <v>37847.08186125489</v>
      </c>
      <c r="V19" s="13">
        <f t="shared" si="13"/>
        <v>79647.631436314376</v>
      </c>
    </row>
    <row r="20" spans="2:22" outlineLevel="1" x14ac:dyDescent="0.3">
      <c r="B20" s="157" t="s">
        <v>28</v>
      </c>
      <c r="C20" s="157" t="s">
        <v>29</v>
      </c>
      <c r="D20" s="9">
        <v>41.406999999999996</v>
      </c>
      <c r="E20" s="9">
        <v>43.021999999999998</v>
      </c>
      <c r="F20" s="9">
        <v>98.495999999999995</v>
      </c>
      <c r="G20" s="9">
        <v>55.222000000000001</v>
      </c>
      <c r="H20" s="9">
        <v>303.27100000000002</v>
      </c>
      <c r="I20" s="9">
        <v>213.14400000000001</v>
      </c>
      <c r="J20" s="9">
        <v>233.16499999999999</v>
      </c>
      <c r="K20" s="9">
        <v>442.62200000000001</v>
      </c>
      <c r="L20" s="9">
        <v>1076.779</v>
      </c>
      <c r="N20" s="9">
        <f t="shared" ref="N20:P22" si="14">IFERROR(D20/N$3*1000,0)</f>
        <v>139.45976895355491</v>
      </c>
      <c r="O20" s="9">
        <f t="shared" si="14"/>
        <v>136.62548826574357</v>
      </c>
      <c r="P20" s="9">
        <f t="shared" si="14"/>
        <v>314.56310679611647</v>
      </c>
      <c r="Q20" s="9">
        <f t="shared" ref="Q20:R22" si="15">IFERROR(G20/P$3*1000,0)</f>
        <v>176.3605007664793</v>
      </c>
      <c r="R20" s="9">
        <f t="shared" si="15"/>
        <v>975.08520352388928</v>
      </c>
      <c r="S20" s="9">
        <f>IFERROR(I20/R$3*1000,0)</f>
        <v>687.2509189398337</v>
      </c>
      <c r="T20" s="9">
        <f t="shared" si="13"/>
        <v>705.44898947113643</v>
      </c>
      <c r="U20" s="9">
        <f t="shared" si="13"/>
        <v>1212.2312600991427</v>
      </c>
      <c r="V20" s="9">
        <f t="shared" si="13"/>
        <v>2918.1002710027101</v>
      </c>
    </row>
    <row r="21" spans="2:22" outlineLevel="1" x14ac:dyDescent="0.3">
      <c r="B21" s="157" t="s">
        <v>30</v>
      </c>
      <c r="C21" s="157" t="s">
        <v>31</v>
      </c>
      <c r="D21" s="9">
        <v>787.505</v>
      </c>
      <c r="E21" s="9">
        <v>700.26499999999999</v>
      </c>
      <c r="F21" s="9">
        <v>2650.4140000000002</v>
      </c>
      <c r="G21" s="9">
        <v>3533.75</v>
      </c>
      <c r="H21" s="9">
        <v>3699.9859999999999</v>
      </c>
      <c r="I21" s="9">
        <v>3319.5839999999998</v>
      </c>
      <c r="J21" s="9">
        <v>2919.8359999999998</v>
      </c>
      <c r="K21" s="9">
        <v>3263.2240000000002</v>
      </c>
      <c r="L21" s="9">
        <v>4425.3450000000003</v>
      </c>
      <c r="N21" s="9">
        <f t="shared" si="14"/>
        <v>2652.335724630359</v>
      </c>
      <c r="O21" s="9">
        <f t="shared" si="14"/>
        <v>2223.8400711359523</v>
      </c>
      <c r="P21" s="9">
        <f t="shared" si="14"/>
        <v>8464.5311701584051</v>
      </c>
      <c r="Q21" s="9">
        <f t="shared" si="15"/>
        <v>11285.60935104752</v>
      </c>
      <c r="R21" s="9">
        <f t="shared" si="15"/>
        <v>11896.296058131311</v>
      </c>
      <c r="S21" s="9">
        <f>IFERROR(I21/R$3*1000,0)</f>
        <v>10703.501644418649</v>
      </c>
      <c r="T21" s="9">
        <f t="shared" si="13"/>
        <v>8834.0675299528011</v>
      </c>
      <c r="U21" s="9">
        <f t="shared" si="13"/>
        <v>8937.1566291457839</v>
      </c>
      <c r="V21" s="9">
        <f t="shared" si="13"/>
        <v>11992.804878048782</v>
      </c>
    </row>
    <row r="22" spans="2:22" outlineLevel="1" x14ac:dyDescent="0.3">
      <c r="B22" s="97" t="s">
        <v>311</v>
      </c>
      <c r="C22" s="157" t="s">
        <v>303</v>
      </c>
      <c r="D22" s="9">
        <v>0</v>
      </c>
      <c r="E22" s="9">
        <v>0</v>
      </c>
      <c r="F22" s="9">
        <v>0</v>
      </c>
      <c r="G22" s="9">
        <v>273.40199999999999</v>
      </c>
      <c r="H22" s="9">
        <v>873.94899999999996</v>
      </c>
      <c r="I22" s="9">
        <v>287</v>
      </c>
      <c r="J22" s="9">
        <v>160.81399999999999</v>
      </c>
      <c r="K22" s="9">
        <v>128.94900000000001</v>
      </c>
      <c r="L22" s="9">
        <v>0</v>
      </c>
      <c r="N22" s="9">
        <f t="shared" si="14"/>
        <v>0</v>
      </c>
      <c r="O22" s="9">
        <f t="shared" si="14"/>
        <v>0</v>
      </c>
      <c r="P22" s="9">
        <f t="shared" si="14"/>
        <v>0</v>
      </c>
      <c r="Q22" s="9">
        <f t="shared" si="15"/>
        <v>873.15406234031673</v>
      </c>
      <c r="R22" s="9">
        <f t="shared" si="15"/>
        <v>2809.9446980901548</v>
      </c>
      <c r="S22" s="9">
        <f>IFERROR(I22/R$3*1000,0)</f>
        <v>925.38853421035662</v>
      </c>
      <c r="T22" s="9">
        <f t="shared" si="13"/>
        <v>486.54846907902697</v>
      </c>
      <c r="U22" s="9">
        <f t="shared" si="13"/>
        <v>353.15914879631913</v>
      </c>
      <c r="V22" s="9">
        <f t="shared" si="13"/>
        <v>0</v>
      </c>
    </row>
    <row r="23" spans="2:22" outlineLevel="1" x14ac:dyDescent="0.3">
      <c r="B23" s="157" t="s">
        <v>13</v>
      </c>
      <c r="C23" s="157" t="s">
        <v>14</v>
      </c>
      <c r="D23" s="9"/>
      <c r="E23" s="9"/>
      <c r="F23" s="9"/>
      <c r="G23" s="9"/>
      <c r="H23" s="9"/>
      <c r="I23" s="9"/>
      <c r="J23" s="9"/>
      <c r="K23" s="9">
        <v>843.48800000000006</v>
      </c>
      <c r="L23" s="9">
        <v>2395.5250000000001</v>
      </c>
      <c r="N23" s="9"/>
      <c r="O23" s="9"/>
      <c r="P23" s="9"/>
      <c r="Q23" s="9"/>
      <c r="R23" s="9"/>
      <c r="S23" s="9"/>
      <c r="T23" s="9"/>
      <c r="U23" s="9"/>
      <c r="V23" s="9"/>
    </row>
    <row r="24" spans="2:22" outlineLevel="1" x14ac:dyDescent="0.3">
      <c r="B24" s="157" t="s">
        <v>32</v>
      </c>
      <c r="C24" s="157" t="s">
        <v>33</v>
      </c>
      <c r="D24" s="9">
        <v>268.46699999999998</v>
      </c>
      <c r="E24" s="9">
        <v>391.399</v>
      </c>
      <c r="F24" s="9">
        <v>627.99</v>
      </c>
      <c r="G24" s="9">
        <v>1275.48</v>
      </c>
      <c r="H24" s="9">
        <v>265.75299999999999</v>
      </c>
      <c r="I24" s="9">
        <v>915.40099999999995</v>
      </c>
      <c r="J24" s="9">
        <v>360.98700000000002</v>
      </c>
      <c r="K24" s="9">
        <v>1697.162</v>
      </c>
      <c r="L24" s="9">
        <v>8627.1360000000004</v>
      </c>
      <c r="N24" s="9">
        <f t="shared" ref="N24:P27" si="16">IFERROR(D24/N$3*1000,0)</f>
        <v>904.20329392745271</v>
      </c>
      <c r="O24" s="9">
        <f t="shared" si="16"/>
        <v>1242.9705611483375</v>
      </c>
      <c r="P24" s="9">
        <f t="shared" si="16"/>
        <v>2005.5889115993871</v>
      </c>
      <c r="Q24" s="9">
        <f t="shared" ref="Q24:S27" si="17">IFERROR(G24/P$3*1000,0)</f>
        <v>4073.4542667347987</v>
      </c>
      <c r="R24" s="9">
        <f t="shared" si="17"/>
        <v>854.4563050607677</v>
      </c>
      <c r="S24" s="9">
        <f t="shared" si="17"/>
        <v>2951.5734829431872</v>
      </c>
      <c r="T24" s="9">
        <f>IFERROR(J24/T$3*1000,0)</f>
        <v>1092.1789906813508</v>
      </c>
      <c r="U24" s="9">
        <f>IFERROR(K24/U$3*1000,0)</f>
        <v>4648.1034152219754</v>
      </c>
      <c r="V24" s="9">
        <f>IFERROR(L24/V$3*1000,0)</f>
        <v>23379.772357723577</v>
      </c>
    </row>
    <row r="25" spans="2:22" outlineLevel="1" x14ac:dyDescent="0.3">
      <c r="B25" s="157" t="s">
        <v>34</v>
      </c>
      <c r="C25" s="158" t="s">
        <v>35</v>
      </c>
      <c r="D25" s="9">
        <v>102.241</v>
      </c>
      <c r="E25" s="9">
        <v>207.75700000000001</v>
      </c>
      <c r="F25" s="9">
        <v>693.71400000000006</v>
      </c>
      <c r="G25" s="9">
        <v>359.46899999999999</v>
      </c>
      <c r="H25" s="9">
        <v>1009.65</v>
      </c>
      <c r="I25" s="9">
        <v>1654.961</v>
      </c>
      <c r="J25" s="9">
        <v>4396.5959999999995</v>
      </c>
      <c r="K25" s="9">
        <v>3895.8029999999999</v>
      </c>
      <c r="L25" s="9">
        <v>9155.7180000000008</v>
      </c>
      <c r="N25" s="9">
        <f t="shared" si="16"/>
        <v>344.35013977299519</v>
      </c>
      <c r="O25" s="9">
        <f t="shared" si="16"/>
        <v>659.77642986439707</v>
      </c>
      <c r="P25" s="9">
        <f t="shared" si="16"/>
        <v>2215.4892692897292</v>
      </c>
      <c r="Q25" s="9">
        <f t="shared" si="17"/>
        <v>1148.0231221257027</v>
      </c>
      <c r="R25" s="9">
        <f t="shared" si="17"/>
        <v>3246.2542601761947</v>
      </c>
      <c r="S25" s="9">
        <f t="shared" si="17"/>
        <v>5336.1739859418331</v>
      </c>
      <c r="T25" s="9">
        <f>IFERROR(J25/T$3*1000,0)</f>
        <v>13302.057364153456</v>
      </c>
      <c r="U25" s="9">
        <f>IFERROR(K25/U$3*1000,0)</f>
        <v>10669.632733546956</v>
      </c>
      <c r="V25" s="9">
        <f>IFERROR(L25/V$3*1000,0)</f>
        <v>24812.243902439026</v>
      </c>
    </row>
    <row r="26" spans="2:22" outlineLevel="1" x14ac:dyDescent="0.3">
      <c r="B26" s="157" t="s">
        <v>36</v>
      </c>
      <c r="C26" s="157" t="s">
        <v>37</v>
      </c>
      <c r="D26" s="9">
        <v>0</v>
      </c>
      <c r="E26" s="9">
        <v>3.9369999999999998</v>
      </c>
      <c r="F26" s="9">
        <v>25.599</v>
      </c>
      <c r="G26" s="9">
        <v>68.977000000000004</v>
      </c>
      <c r="H26" s="9">
        <v>127.69799999999999</v>
      </c>
      <c r="I26" s="9">
        <v>192.18199999999999</v>
      </c>
      <c r="J26" s="9">
        <v>118.67700000000001</v>
      </c>
      <c r="K26" s="9">
        <v>92.811999999999998</v>
      </c>
      <c r="L26" s="9">
        <v>30.22</v>
      </c>
      <c r="N26" s="9">
        <f t="shared" si="16"/>
        <v>0</v>
      </c>
      <c r="O26" s="9">
        <f t="shared" si="16"/>
        <v>12.502778748134268</v>
      </c>
      <c r="P26" s="9">
        <f t="shared" si="16"/>
        <v>81.754598875830354</v>
      </c>
      <c r="Q26" s="9">
        <f t="shared" si="17"/>
        <v>220.2893459376597</v>
      </c>
      <c r="R26" s="9">
        <f t="shared" si="17"/>
        <v>410.5780978715195</v>
      </c>
      <c r="S26" s="9">
        <f t="shared" si="17"/>
        <v>619.66208808925001</v>
      </c>
      <c r="T26" s="9">
        <f>IFERROR(J26/T$3*1000,0)</f>
        <v>359.06147888176207</v>
      </c>
      <c r="U26" s="9">
        <f>IFERROR(K26/U$3*1000,0)</f>
        <v>254.18891901514527</v>
      </c>
      <c r="V26" s="9">
        <f>IFERROR(L26/V$3*1000,0)</f>
        <v>81.897018970189691</v>
      </c>
    </row>
    <row r="27" spans="2:22" x14ac:dyDescent="0.3">
      <c r="B27" s="157" t="s">
        <v>38</v>
      </c>
      <c r="C27" s="157" t="s">
        <v>39</v>
      </c>
      <c r="D27" s="9">
        <v>878.1</v>
      </c>
      <c r="E27" s="9">
        <v>2252.163</v>
      </c>
      <c r="F27" s="9">
        <v>1924.559</v>
      </c>
      <c r="G27" s="9">
        <v>3915.0909999999999</v>
      </c>
      <c r="H27" s="9">
        <v>2825.6979999999999</v>
      </c>
      <c r="I27" s="9">
        <v>2561.2179999999998</v>
      </c>
      <c r="J27" s="9">
        <v>4847.6710000000003</v>
      </c>
      <c r="K27" s="9">
        <v>3455.0450000000001</v>
      </c>
      <c r="L27" s="9">
        <v>3679.2530000000002</v>
      </c>
      <c r="N27" s="9">
        <f t="shared" si="16"/>
        <v>2957.4618571284227</v>
      </c>
      <c r="O27" s="9">
        <f t="shared" si="16"/>
        <v>7152.2214106513384</v>
      </c>
      <c r="P27" s="9">
        <f t="shared" si="16"/>
        <v>6146.3943536024517</v>
      </c>
      <c r="Q27" s="9">
        <f t="shared" si="17"/>
        <v>12503.484287174246</v>
      </c>
      <c r="R27" s="9">
        <f t="shared" si="17"/>
        <v>9085.2613979808375</v>
      </c>
      <c r="S27" s="9">
        <f t="shared" si="17"/>
        <v>8258.2640098020238</v>
      </c>
      <c r="T27" s="9">
        <f>IFERROR(J27/T$3*1000,0)</f>
        <v>14666.800798741378</v>
      </c>
      <c r="U27" s="9">
        <f>IFERROR(K27/U$3*1000,0)</f>
        <v>9462.5065045326319</v>
      </c>
      <c r="V27" s="9">
        <f>IFERROR(L27/V$3*1000,0)</f>
        <v>9970.875338753387</v>
      </c>
    </row>
    <row r="28" spans="2:22" outlineLevel="1" x14ac:dyDescent="0.3">
      <c r="B28" s="97" t="s">
        <v>283</v>
      </c>
      <c r="C28" s="157" t="s">
        <v>307</v>
      </c>
      <c r="D28" s="9"/>
      <c r="E28" s="9"/>
      <c r="F28" s="9"/>
      <c r="G28" s="9"/>
      <c r="H28" s="9"/>
      <c r="I28" s="9"/>
      <c r="J28" s="9"/>
      <c r="K28" s="9"/>
      <c r="L28" s="9"/>
      <c r="N28" s="9"/>
      <c r="O28" s="9"/>
      <c r="P28" s="9"/>
      <c r="Q28" s="9"/>
      <c r="R28" s="9"/>
      <c r="S28" s="9"/>
      <c r="T28" s="9"/>
      <c r="U28" s="9"/>
      <c r="V28" s="9"/>
    </row>
    <row r="29" spans="2:22" outlineLevel="1" x14ac:dyDescent="0.3">
      <c r="B29" s="157" t="s">
        <v>40</v>
      </c>
      <c r="C29" s="157" t="s">
        <v>41</v>
      </c>
      <c r="D29" s="9">
        <v>0</v>
      </c>
      <c r="E29" s="9">
        <v>0</v>
      </c>
      <c r="F29" s="9">
        <v>8.8019999999999996</v>
      </c>
      <c r="G29" s="9">
        <v>0</v>
      </c>
      <c r="H29" s="11" t="s">
        <v>20</v>
      </c>
      <c r="I29" s="11">
        <v>0</v>
      </c>
      <c r="J29" s="11">
        <v>0</v>
      </c>
      <c r="K29" s="11"/>
      <c r="L29" s="11"/>
      <c r="N29" s="9">
        <f>IFERROR(D29/N$3*1000,0)</f>
        <v>0</v>
      </c>
      <c r="O29" s="9">
        <f>IFERROR(E29/O$3*1000,0)</f>
        <v>0</v>
      </c>
      <c r="P29" s="9">
        <f>IFERROR(F29/P$3*1000,0)</f>
        <v>28.110628513030147</v>
      </c>
      <c r="Q29" s="9">
        <f>IFERROR(G29/P$3*1000,0)</f>
        <v>0</v>
      </c>
      <c r="R29" s="9">
        <f>IFERROR(H29/Q$3*1000,0)</f>
        <v>0</v>
      </c>
      <c r="S29" s="9">
        <f>IFERROR(I29/R$3*1000,0)</f>
        <v>0</v>
      </c>
      <c r="T29" s="9">
        <f>IFERROR(J29/T$3*1000,0)</f>
        <v>0</v>
      </c>
      <c r="U29" s="9">
        <f>IFERROR(K29/U$3*1000,0)</f>
        <v>0</v>
      </c>
      <c r="V29" s="9">
        <f>IFERROR(L29/V$3*1000,0)</f>
        <v>0</v>
      </c>
    </row>
    <row r="30" spans="2:22" ht="15" thickBot="1" x14ac:dyDescent="0.35">
      <c r="B30" s="157"/>
      <c r="C30" s="157"/>
      <c r="D30" s="12"/>
      <c r="E30" s="12"/>
      <c r="F30" s="12"/>
      <c r="G30" s="12"/>
      <c r="H30" s="12"/>
      <c r="I30" s="12"/>
      <c r="J30" s="12"/>
      <c r="K30" s="12"/>
      <c r="L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 ht="15" thickBot="1" x14ac:dyDescent="0.35">
      <c r="B31" s="159" t="s">
        <v>42</v>
      </c>
      <c r="C31" s="159" t="s">
        <v>43</v>
      </c>
      <c r="D31" s="14">
        <f t="shared" ref="D31:K31" si="18">+D19+D6</f>
        <v>8536.6020000000008</v>
      </c>
      <c r="E31" s="14">
        <f t="shared" si="18"/>
        <v>9788.3070000000007</v>
      </c>
      <c r="F31" s="14">
        <f t="shared" si="18"/>
        <v>13939.216</v>
      </c>
      <c r="G31" s="14">
        <f t="shared" si="18"/>
        <v>16147.833000000001</v>
      </c>
      <c r="H31" s="14">
        <f t="shared" si="18"/>
        <v>16652.12</v>
      </c>
      <c r="I31" s="14">
        <f t="shared" si="18"/>
        <v>22859.097999999998</v>
      </c>
      <c r="J31" s="14">
        <f t="shared" si="18"/>
        <v>37574.506999999998</v>
      </c>
      <c r="K31" s="14">
        <f t="shared" si="18"/>
        <v>44884.36</v>
      </c>
      <c r="L31" s="14">
        <f t="shared" ref="L31" si="19">+L19+L6</f>
        <v>60760.748000000007</v>
      </c>
      <c r="N31" s="14">
        <f t="shared" ref="N31:S31" si="20">+N19+N6</f>
        <v>28751.480246539351</v>
      </c>
      <c r="O31" s="14">
        <f t="shared" si="20"/>
        <v>31084.845501603733</v>
      </c>
      <c r="P31" s="14">
        <f t="shared" si="20"/>
        <v>44517.169136433316</v>
      </c>
      <c r="Q31" s="14">
        <f t="shared" si="20"/>
        <v>51570.749233520692</v>
      </c>
      <c r="R31" s="14">
        <f t="shared" si="20"/>
        <v>53540.35110282297</v>
      </c>
      <c r="S31" s="14">
        <f t="shared" si="20"/>
        <v>73705.739343522277</v>
      </c>
      <c r="T31" s="14">
        <f t="shared" ref="T31" si="21">+T19+T6</f>
        <v>113683.00556698536</v>
      </c>
      <c r="U31" s="14">
        <f t="shared" ref="U31:V31" si="22">+U19+U6</f>
        <v>122927.06707200175</v>
      </c>
      <c r="V31" s="14">
        <f t="shared" si="22"/>
        <v>164663.27371273714</v>
      </c>
    </row>
    <row r="32" spans="2:22" x14ac:dyDescent="0.3">
      <c r="B32" s="157"/>
      <c r="C32" s="157"/>
      <c r="D32" s="9"/>
      <c r="E32" s="9"/>
      <c r="F32" s="9"/>
      <c r="G32" s="9"/>
      <c r="H32" s="9"/>
      <c r="I32" s="9"/>
      <c r="J32" s="9"/>
      <c r="K32" s="9"/>
      <c r="L32" s="9"/>
      <c r="N32" s="9"/>
      <c r="O32" s="9"/>
      <c r="P32" s="9"/>
      <c r="Q32" s="9"/>
      <c r="R32" s="9"/>
      <c r="S32" s="9"/>
      <c r="T32" s="9"/>
      <c r="U32" s="9"/>
      <c r="V32" s="9"/>
    </row>
    <row r="33" spans="2:22" x14ac:dyDescent="0.3">
      <c r="B33" s="156" t="s">
        <v>44</v>
      </c>
      <c r="C33" s="156" t="s">
        <v>45</v>
      </c>
      <c r="D33" s="13">
        <f t="shared" ref="D33:F33" si="23">+D34+D43</f>
        <v>1873.3670000000002</v>
      </c>
      <c r="E33" s="13">
        <f t="shared" si="23"/>
        <v>1527.4540000000002</v>
      </c>
      <c r="F33" s="13">
        <f t="shared" si="23"/>
        <v>2543.5970000000007</v>
      </c>
      <c r="G33" s="13">
        <f t="shared" ref="G33:L33" si="24">+G34+G43</f>
        <v>4896.6480000000001</v>
      </c>
      <c r="H33" s="13">
        <f t="shared" si="24"/>
        <v>5119.4949999999999</v>
      </c>
      <c r="I33" s="13">
        <f t="shared" si="24"/>
        <v>5144.7329999999993</v>
      </c>
      <c r="J33" s="13">
        <f t="shared" si="24"/>
        <v>5749.8840000000009</v>
      </c>
      <c r="K33" s="13">
        <f t="shared" si="24"/>
        <v>8547.6569999999992</v>
      </c>
      <c r="L33" s="13">
        <f t="shared" si="24"/>
        <v>19009.317999999999</v>
      </c>
      <c r="N33" s="13">
        <f t="shared" ref="N33" si="25">+N34+N43</f>
        <v>6309.5449799602557</v>
      </c>
      <c r="O33" s="13">
        <f t="shared" ref="O33" si="26">+O34+O43</f>
        <v>4850.7542316364452</v>
      </c>
      <c r="P33" s="13">
        <f t="shared" ref="P33" si="27">+P34+P43</f>
        <v>8123.393587123147</v>
      </c>
      <c r="Q33" s="13">
        <f>+Q34+Q43</f>
        <v>15638.247317322432</v>
      </c>
      <c r="R33" s="13">
        <f>+R34+R43</f>
        <v>16460.340171050095</v>
      </c>
      <c r="S33" s="13">
        <f>IFERROR(I33/R$3*1000,0)</f>
        <v>16588.421358096341</v>
      </c>
      <c r="T33" s="13">
        <f>IFERROR(J33/T$3*1000,0)</f>
        <v>17396.478276654972</v>
      </c>
      <c r="U33" s="13">
        <f>IFERROR(K33/U$3*1000,0)</f>
        <v>23409.900583353872</v>
      </c>
      <c r="V33" s="13">
        <f>IFERROR(L33/V$3*1000,0)</f>
        <v>51515.766937669374</v>
      </c>
    </row>
    <row r="34" spans="2:22" outlineLevel="1" x14ac:dyDescent="0.3">
      <c r="B34" s="80" t="s">
        <v>46</v>
      </c>
      <c r="C34" s="80" t="s">
        <v>47</v>
      </c>
      <c r="D34" s="9">
        <f t="shared" ref="D34:G34" si="28">SUM(D35:D41)</f>
        <v>1873.3670000000002</v>
      </c>
      <c r="E34" s="9">
        <f t="shared" si="28"/>
        <v>1527.4540000000002</v>
      </c>
      <c r="F34" s="9">
        <f t="shared" si="28"/>
        <v>2158.5020000000004</v>
      </c>
      <c r="G34" s="9">
        <f t="shared" si="28"/>
        <v>4924.7780000000002</v>
      </c>
      <c r="H34" s="9">
        <f>SUM(H35:H41)</f>
        <v>5145.1959999999999</v>
      </c>
      <c r="I34" s="9">
        <f>SUM(I35:I42)</f>
        <v>5151.5729999999994</v>
      </c>
      <c r="J34" s="9">
        <f>SUM(J35:J42)</f>
        <v>5753.8100000000013</v>
      </c>
      <c r="K34" s="9">
        <f>SUM(K35:K41)</f>
        <v>8539.8919999999998</v>
      </c>
      <c r="L34" s="9">
        <f>SUM(L35:L41)</f>
        <v>18999.287</v>
      </c>
      <c r="N34" s="9">
        <f t="shared" ref="N34" si="29">SUM(N35:N41)</f>
        <v>6309.5449799602557</v>
      </c>
      <c r="O34" s="9">
        <f t="shared" ref="O34" si="30">SUM(O35:O41)</f>
        <v>4850.7542316364452</v>
      </c>
      <c r="P34" s="9">
        <f t="shared" ref="P34" si="31">SUM(P35:P41)</f>
        <v>6893.5296371997947</v>
      </c>
      <c r="Q34" s="9">
        <f t="shared" ref="Q34" si="32">SUM(Q35:Q41)</f>
        <v>15728.085079202861</v>
      </c>
      <c r="R34" s="9">
        <f>SUM(R35:R41)</f>
        <v>16542.974728313293</v>
      </c>
      <c r="S34" s="9">
        <f>SUM(S35:S41)</f>
        <v>16609.631134326435</v>
      </c>
      <c r="T34" s="9">
        <f>SUM(T35:T41)</f>
        <v>17411.560571221111</v>
      </c>
      <c r="U34" s="9">
        <f>SUM(U35:U41)</f>
        <v>24000.084901268041</v>
      </c>
      <c r="V34" s="9">
        <f>SUM(V35:V41)</f>
        <v>51488.582655826554</v>
      </c>
    </row>
    <row r="35" spans="2:22" outlineLevel="1" x14ac:dyDescent="0.3">
      <c r="B35" s="157" t="s">
        <v>48</v>
      </c>
      <c r="C35" s="157" t="s">
        <v>49</v>
      </c>
      <c r="D35" s="9">
        <v>167.7</v>
      </c>
      <c r="E35" s="9">
        <v>167.7</v>
      </c>
      <c r="F35" s="9">
        <v>158.07499999999999</v>
      </c>
      <c r="G35" s="9">
        <v>195.39</v>
      </c>
      <c r="H35" s="9">
        <v>195.39</v>
      </c>
      <c r="I35" s="9">
        <v>195.31399999999999</v>
      </c>
      <c r="J35" s="9">
        <v>232.94800000000001</v>
      </c>
      <c r="K35" s="9">
        <v>232.97200000000001</v>
      </c>
      <c r="L35" s="9">
        <v>242.23500000000001</v>
      </c>
      <c r="N35" s="9">
        <f t="shared" ref="N35:P36" si="33">IFERROR(D35/N$3*1000,0)</f>
        <v>564.81762150146494</v>
      </c>
      <c r="O35" s="9">
        <f t="shared" si="33"/>
        <v>532.56692813363395</v>
      </c>
      <c r="P35" s="9">
        <f t="shared" si="33"/>
        <v>504.83840061318341</v>
      </c>
      <c r="Q35" s="9">
        <f t="shared" ref="Q35:S36" si="34">IFERROR(G35/P$3*1000,0)</f>
        <v>624.00996423096569</v>
      </c>
      <c r="R35" s="9">
        <f t="shared" si="34"/>
        <v>628.22326538486277</v>
      </c>
      <c r="S35" s="9">
        <f t="shared" si="34"/>
        <v>629.76075320822861</v>
      </c>
      <c r="T35" s="9">
        <f>IFERROR(J35/T$3*1000,0)</f>
        <v>704.79244826334264</v>
      </c>
      <c r="U35" s="9">
        <f>IFERROR(K35/U$3*1000,0)</f>
        <v>638.05220058609268</v>
      </c>
      <c r="V35" s="9">
        <f>IFERROR(L35/V$3*1000,0)</f>
        <v>656.46341463414637</v>
      </c>
    </row>
    <row r="36" spans="2:22" outlineLevel="1" x14ac:dyDescent="0.3">
      <c r="B36" s="157" t="s">
        <v>302</v>
      </c>
      <c r="C36" s="157" t="s">
        <v>50</v>
      </c>
      <c r="D36" s="9">
        <v>1628.451</v>
      </c>
      <c r="E36" s="9">
        <v>1628.451</v>
      </c>
      <c r="F36" s="9">
        <v>1628.451</v>
      </c>
      <c r="G36" s="9">
        <v>3080.8380000000002</v>
      </c>
      <c r="H36" s="9">
        <v>3080.8380000000002</v>
      </c>
      <c r="I36" s="9">
        <v>3080.8380000000002</v>
      </c>
      <c r="J36" s="9">
        <v>5056.2070000000003</v>
      </c>
      <c r="K36" s="9">
        <v>5185.3429999999998</v>
      </c>
      <c r="L36" s="9">
        <v>5375.3689999999997</v>
      </c>
      <c r="N36" s="9">
        <f t="shared" si="33"/>
        <v>5484.6620187935732</v>
      </c>
      <c r="O36" s="9">
        <f t="shared" si="33"/>
        <v>5171.4916319984759</v>
      </c>
      <c r="P36" s="9">
        <f t="shared" si="33"/>
        <v>5200.7249616760346</v>
      </c>
      <c r="Q36" s="9">
        <f t="shared" si="34"/>
        <v>9839.1607051609608</v>
      </c>
      <c r="R36" s="9">
        <f t="shared" si="34"/>
        <v>9905.594495530835</v>
      </c>
      <c r="S36" s="9">
        <f t="shared" si="34"/>
        <v>9933.7009092667849</v>
      </c>
      <c r="T36" s="9">
        <f>IFERROR(J36/T$3*1000,0)</f>
        <v>15297.733873895682</v>
      </c>
      <c r="U36" s="9">
        <f>IFERROR(K36/U$3*1000,0)</f>
        <v>14201.361159039247</v>
      </c>
      <c r="V36" s="9">
        <f>IFERROR(L36/V$3*1000,0)</f>
        <v>14567.395663956639</v>
      </c>
    </row>
    <row r="37" spans="2:22" outlineLevel="1" x14ac:dyDescent="0.3">
      <c r="B37" s="157" t="s">
        <v>175</v>
      </c>
      <c r="C37" s="157" t="s">
        <v>417</v>
      </c>
      <c r="D37" s="9"/>
      <c r="E37" s="9"/>
      <c r="F37" s="9"/>
      <c r="G37" s="9"/>
      <c r="H37" s="9"/>
      <c r="I37" s="9"/>
      <c r="J37" s="9"/>
      <c r="K37" s="9">
        <v>-223.25899999999999</v>
      </c>
      <c r="L37" s="9">
        <v>0</v>
      </c>
      <c r="N37" s="9"/>
      <c r="O37" s="9"/>
      <c r="P37" s="9"/>
      <c r="Q37" s="9"/>
      <c r="R37" s="9"/>
      <c r="S37" s="9"/>
      <c r="T37" s="9"/>
      <c r="U37" s="9"/>
      <c r="V37" s="9"/>
    </row>
    <row r="38" spans="2:22" outlineLevel="1" x14ac:dyDescent="0.3">
      <c r="B38" s="157" t="s">
        <v>51</v>
      </c>
      <c r="C38" s="157" t="s">
        <v>52</v>
      </c>
      <c r="D38" s="9">
        <v>33.149000000000001</v>
      </c>
      <c r="E38" s="9">
        <v>8.8800000000000008</v>
      </c>
      <c r="F38" s="9">
        <v>0</v>
      </c>
      <c r="G38" s="9">
        <v>42.295999999999999</v>
      </c>
      <c r="H38" s="9">
        <v>83.74</v>
      </c>
      <c r="I38" s="9">
        <v>92.69</v>
      </c>
      <c r="J38" s="9">
        <v>68.397999999999996</v>
      </c>
      <c r="K38" s="9">
        <v>62.819000000000003</v>
      </c>
      <c r="L38" s="9">
        <v>-206.875</v>
      </c>
      <c r="N38" s="9">
        <f t="shared" ref="N38:P43" si="35">IFERROR(D38/N$3*1000,0)</f>
        <v>111.64662692398369</v>
      </c>
      <c r="O38" s="9">
        <f t="shared" si="35"/>
        <v>28.200323922639654</v>
      </c>
      <c r="P38" s="9">
        <f t="shared" si="35"/>
        <v>0</v>
      </c>
      <c r="Q38" s="9">
        <f t="shared" ref="Q38:S43" si="36">IFERROR(G38/P$3*1000,0)</f>
        <v>135.07920286152273</v>
      </c>
      <c r="R38" s="9">
        <f t="shared" si="36"/>
        <v>269.2431354896791</v>
      </c>
      <c r="S38" s="9">
        <f t="shared" si="36"/>
        <v>298.86502869671762</v>
      </c>
      <c r="T38" s="9">
        <f t="shared" ref="T38:V43" si="37">IFERROR(J38/T$3*1000,0)</f>
        <v>206.9405784823914</v>
      </c>
      <c r="U38" s="9">
        <f t="shared" si="37"/>
        <v>172.04557280968424</v>
      </c>
      <c r="V38" s="9">
        <f t="shared" si="37"/>
        <v>-560.6368563685636</v>
      </c>
    </row>
    <row r="39" spans="2:22" outlineLevel="1" x14ac:dyDescent="0.3">
      <c r="B39" s="157" t="s">
        <v>53</v>
      </c>
      <c r="C39" s="157" t="s">
        <v>54</v>
      </c>
      <c r="D39" s="9">
        <v>44.067</v>
      </c>
      <c r="E39" s="9">
        <v>-277.577</v>
      </c>
      <c r="F39" s="9">
        <v>818.70699999999999</v>
      </c>
      <c r="G39" s="9">
        <v>1348.3430000000001</v>
      </c>
      <c r="H39" s="9">
        <v>2006.8610000000001</v>
      </c>
      <c r="I39" s="9">
        <v>2267.98</v>
      </c>
      <c r="J39" s="9">
        <v>2303.2820000000002</v>
      </c>
      <c r="K39" s="9">
        <v>2882.2159999999999</v>
      </c>
      <c r="L39" s="9">
        <v>8282.1270000000004</v>
      </c>
      <c r="N39" s="9">
        <f t="shared" si="35"/>
        <v>148.41871274123469</v>
      </c>
      <c r="O39" s="9">
        <f t="shared" si="35"/>
        <v>-881.50465241830489</v>
      </c>
      <c r="P39" s="9">
        <f t="shared" si="35"/>
        <v>2614.6748850281042</v>
      </c>
      <c r="Q39" s="9">
        <f t="shared" si="36"/>
        <v>4306.1541900868669</v>
      </c>
      <c r="R39" s="9">
        <f t="shared" si="36"/>
        <v>6452.5143077615594</v>
      </c>
      <c r="S39" s="9">
        <f t="shared" si="36"/>
        <v>7312.7619784613407</v>
      </c>
      <c r="T39" s="9">
        <f t="shared" si="37"/>
        <v>6968.6615030860476</v>
      </c>
      <c r="U39" s="9">
        <f t="shared" si="37"/>
        <v>7893.6707474050345</v>
      </c>
      <c r="V39" s="9">
        <f t="shared" si="37"/>
        <v>22444.788617886177</v>
      </c>
    </row>
    <row r="40" spans="2:22" outlineLevel="1" x14ac:dyDescent="0.3">
      <c r="B40" s="157" t="s">
        <v>55</v>
      </c>
      <c r="C40" s="157" t="s">
        <v>56</v>
      </c>
      <c r="D40" s="9">
        <v>0</v>
      </c>
      <c r="E40" s="9">
        <v>0</v>
      </c>
      <c r="F40" s="9">
        <v>-356.13600000000002</v>
      </c>
      <c r="G40" s="9">
        <v>-182.42400000000001</v>
      </c>
      <c r="H40" s="9">
        <v>-182.42400000000001</v>
      </c>
      <c r="I40" s="9">
        <v>-186.40799999999999</v>
      </c>
      <c r="J40" s="9">
        <v>-192.53399999999999</v>
      </c>
      <c r="K40" s="9">
        <v>0</v>
      </c>
      <c r="L40" s="9">
        <v>0</v>
      </c>
      <c r="N40" s="9">
        <f t="shared" si="35"/>
        <v>0</v>
      </c>
      <c r="O40" s="9">
        <f t="shared" si="35"/>
        <v>0</v>
      </c>
      <c r="P40" s="9">
        <f t="shared" si="35"/>
        <v>-1137.3786407766991</v>
      </c>
      <c r="Q40" s="9">
        <f t="shared" si="36"/>
        <v>-582.60091977516606</v>
      </c>
      <c r="R40" s="9">
        <f t="shared" si="36"/>
        <v>-586.53462799819954</v>
      </c>
      <c r="S40" s="9">
        <f t="shared" si="36"/>
        <v>-601.04468949506668</v>
      </c>
      <c r="T40" s="9">
        <f t="shared" si="37"/>
        <v>-582.51845576667074</v>
      </c>
      <c r="U40" s="9">
        <f t="shared" si="37"/>
        <v>0</v>
      </c>
      <c r="V40" s="9">
        <f t="shared" si="37"/>
        <v>0</v>
      </c>
    </row>
    <row r="41" spans="2:22" outlineLevel="1" x14ac:dyDescent="0.3">
      <c r="B41" s="157" t="s">
        <v>57</v>
      </c>
      <c r="C41" s="157" t="s">
        <v>58</v>
      </c>
      <c r="D41" s="9">
        <v>0</v>
      </c>
      <c r="E41" s="9">
        <v>0</v>
      </c>
      <c r="F41" s="9">
        <v>-90.594999999999999</v>
      </c>
      <c r="G41" s="9">
        <v>440.33499999999998</v>
      </c>
      <c r="H41" s="9">
        <v>-39.209000000000003</v>
      </c>
      <c r="I41" s="9">
        <v>-299.10300000000001</v>
      </c>
      <c r="J41" s="9">
        <v>-1713.432</v>
      </c>
      <c r="K41" s="9">
        <v>399.80099999999999</v>
      </c>
      <c r="L41" s="9">
        <v>5306.4309999999996</v>
      </c>
      <c r="N41" s="9">
        <f t="shared" si="35"/>
        <v>0</v>
      </c>
      <c r="O41" s="9">
        <f t="shared" si="35"/>
        <v>0</v>
      </c>
      <c r="P41" s="9">
        <f t="shared" si="35"/>
        <v>-289.3299693408278</v>
      </c>
      <c r="Q41" s="9">
        <f t="shared" si="36"/>
        <v>1406.2819366377107</v>
      </c>
      <c r="R41" s="9">
        <f t="shared" si="36"/>
        <v>-126.06584785544339</v>
      </c>
      <c r="S41" s="9">
        <f t="shared" si="36"/>
        <v>-964.41284581156901</v>
      </c>
      <c r="T41" s="9">
        <f t="shared" si="37"/>
        <v>-5184.0493767396829</v>
      </c>
      <c r="U41" s="9">
        <f t="shared" si="37"/>
        <v>1094.9552214279845</v>
      </c>
      <c r="V41" s="9">
        <f t="shared" si="37"/>
        <v>14380.571815718156</v>
      </c>
    </row>
    <row r="42" spans="2:22" outlineLevel="1" x14ac:dyDescent="0.3">
      <c r="B42" s="157" t="s">
        <v>59</v>
      </c>
      <c r="C42" s="157" t="s">
        <v>305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0.26200000000000001</v>
      </c>
      <c r="J42" s="9">
        <v>-1.0589999999999999</v>
      </c>
      <c r="K42">
        <v>0</v>
      </c>
      <c r="L42">
        <v>0</v>
      </c>
      <c r="N42" s="9">
        <f t="shared" si="35"/>
        <v>0</v>
      </c>
      <c r="O42" s="9">
        <f t="shared" si="35"/>
        <v>0</v>
      </c>
      <c r="P42" s="9">
        <f t="shared" si="35"/>
        <v>0</v>
      </c>
      <c r="Q42" s="9">
        <f t="shared" si="36"/>
        <v>0</v>
      </c>
      <c r="R42" s="9">
        <f t="shared" si="36"/>
        <v>0</v>
      </c>
      <c r="S42" s="9">
        <f t="shared" si="36"/>
        <v>0.84477977687495975</v>
      </c>
      <c r="T42" s="9">
        <f t="shared" si="37"/>
        <v>-3.2040421154544352</v>
      </c>
      <c r="U42" s="9">
        <f t="shared" si="37"/>
        <v>0</v>
      </c>
      <c r="V42" s="9">
        <f t="shared" si="37"/>
        <v>0</v>
      </c>
    </row>
    <row r="43" spans="2:22" outlineLevel="1" x14ac:dyDescent="0.3">
      <c r="B43" s="80" t="s">
        <v>60</v>
      </c>
      <c r="C43" s="80" t="s">
        <v>61</v>
      </c>
      <c r="D43" s="16">
        <v>0</v>
      </c>
      <c r="E43" s="16">
        <v>0</v>
      </c>
      <c r="F43" s="16">
        <v>385.09500000000003</v>
      </c>
      <c r="G43" s="16">
        <v>-28.13</v>
      </c>
      <c r="H43" s="16">
        <v>-25.701000000000001</v>
      </c>
      <c r="I43" s="16">
        <v>-6.84</v>
      </c>
      <c r="J43" s="16">
        <v>-3.9260000000000002</v>
      </c>
      <c r="K43" s="292">
        <v>7.7649999999999997</v>
      </c>
      <c r="L43" s="292">
        <v>10.031000000000001</v>
      </c>
      <c r="N43" s="16">
        <f t="shared" si="35"/>
        <v>0</v>
      </c>
      <c r="O43" s="16">
        <f t="shared" si="35"/>
        <v>0</v>
      </c>
      <c r="P43" s="16">
        <f t="shared" si="35"/>
        <v>1229.863949923352</v>
      </c>
      <c r="Q43" s="16">
        <f t="shared" si="36"/>
        <v>-89.837761880429213</v>
      </c>
      <c r="R43" s="16">
        <f t="shared" si="36"/>
        <v>-82.634557263198516</v>
      </c>
      <c r="S43" s="16">
        <f t="shared" si="36"/>
        <v>-22.054556006964599</v>
      </c>
      <c r="T43" s="16">
        <f t="shared" si="37"/>
        <v>-11.878252450683773</v>
      </c>
      <c r="U43" s="16">
        <f t="shared" si="37"/>
        <v>21.266398269109633</v>
      </c>
      <c r="V43" s="16">
        <f t="shared" si="37"/>
        <v>27.184281842818432</v>
      </c>
    </row>
    <row r="44" spans="2:22" outlineLevel="1" collapsed="1" x14ac:dyDescent="0.3">
      <c r="B44" s="157"/>
      <c r="C44" s="157"/>
      <c r="D44" s="9"/>
      <c r="E44" s="9"/>
      <c r="F44" s="9"/>
      <c r="G44" s="9"/>
      <c r="H44" s="9"/>
      <c r="I44" s="9"/>
      <c r="J44" s="9"/>
      <c r="K44" s="9"/>
      <c r="L44" s="9"/>
      <c r="N44" s="9"/>
      <c r="O44" s="9"/>
      <c r="P44" s="9"/>
      <c r="Q44" s="9"/>
      <c r="R44" s="9"/>
      <c r="S44" s="9"/>
      <c r="T44" s="9"/>
      <c r="U44" s="9"/>
      <c r="V44" s="9"/>
    </row>
    <row r="45" spans="2:22" x14ac:dyDescent="0.3">
      <c r="B45" s="156" t="s">
        <v>62</v>
      </c>
      <c r="C45" s="156" t="s">
        <v>63</v>
      </c>
      <c r="D45" s="13">
        <f t="shared" ref="D45:F45" si="38">SUM(D46:D52)</f>
        <v>4126.7219999999998</v>
      </c>
      <c r="E45" s="13">
        <f t="shared" si="38"/>
        <v>6362.759</v>
      </c>
      <c r="F45" s="13">
        <f t="shared" si="38"/>
        <v>7034.7829999999994</v>
      </c>
      <c r="G45" s="13">
        <f t="shared" ref="G45:L45" si="39">SUM(G46:G52)</f>
        <v>3947.2909999999993</v>
      </c>
      <c r="H45" s="13">
        <f t="shared" si="39"/>
        <v>6254.7900000000009</v>
      </c>
      <c r="I45" s="13">
        <f t="shared" si="39"/>
        <v>9130.4669999999987</v>
      </c>
      <c r="J45" s="13">
        <f t="shared" si="39"/>
        <v>21758.606</v>
      </c>
      <c r="K45" s="13">
        <f t="shared" si="39"/>
        <v>27905.832999999999</v>
      </c>
      <c r="L45" s="13">
        <f t="shared" si="39"/>
        <v>24490.928</v>
      </c>
      <c r="N45" s="13">
        <f t="shared" ref="N45" si="40">SUM(N46:N52)</f>
        <v>13898.89865615843</v>
      </c>
      <c r="O45" s="13">
        <f t="shared" ref="O45" si="41">SUM(O46:O52)</f>
        <v>20206.291085775985</v>
      </c>
      <c r="P45" s="13">
        <f t="shared" ref="P45" si="42">SUM(P46:P52)</f>
        <v>22466.731604496679</v>
      </c>
      <c r="Q45" s="13">
        <f>SUM(Q46:Q52)</f>
        <v>12606.320260602966</v>
      </c>
      <c r="R45" s="13">
        <f>SUM(R46:R52)</f>
        <v>20110.571667416887</v>
      </c>
      <c r="S45" s="13">
        <f t="shared" ref="S45:S52" si="43">IFERROR(I45/R$3*1000,0)</f>
        <v>29439.823950473976</v>
      </c>
      <c r="T45" s="13">
        <f t="shared" ref="T45:V52" si="44">IFERROR(J45/T$3*1000,0)</f>
        <v>65831.435314050599</v>
      </c>
      <c r="U45" s="13">
        <f t="shared" si="44"/>
        <v>76427.116369512223</v>
      </c>
      <c r="V45" s="13">
        <f t="shared" si="44"/>
        <v>66371.07859078591</v>
      </c>
    </row>
    <row r="46" spans="2:22" x14ac:dyDescent="0.3">
      <c r="B46" s="157" t="s">
        <v>64</v>
      </c>
      <c r="C46" s="157" t="s">
        <v>24</v>
      </c>
      <c r="D46" s="9">
        <v>2940.2759999999998</v>
      </c>
      <c r="E46" s="9">
        <v>2417.0059999999999</v>
      </c>
      <c r="F46" s="9">
        <v>2374.165</v>
      </c>
      <c r="G46" s="9">
        <v>1924.751</v>
      </c>
      <c r="H46" s="9">
        <v>1789.587</v>
      </c>
      <c r="I46" s="9">
        <v>5263.1850000000004</v>
      </c>
      <c r="J46" s="9">
        <v>7883.8450000000003</v>
      </c>
      <c r="K46" s="9">
        <v>8411.3970000000008</v>
      </c>
      <c r="L46" s="9">
        <v>6583.098</v>
      </c>
      <c r="N46" s="9">
        <f t="shared" ref="N46:P52" si="45">IFERROR(D46/N$3*1000,0)</f>
        <v>9902.9200767909442</v>
      </c>
      <c r="O46" s="9">
        <f t="shared" si="45"/>
        <v>7675.7153291625646</v>
      </c>
      <c r="P46" s="9">
        <f t="shared" si="45"/>
        <v>7582.284747061829</v>
      </c>
      <c r="Q46" s="9">
        <f t="shared" ref="Q46:R52" si="46">IFERROR(G46/P$3*1000,0)</f>
        <v>6147.0075370464992</v>
      </c>
      <c r="R46" s="9">
        <f t="shared" si="46"/>
        <v>5753.92900778085</v>
      </c>
      <c r="S46" s="9">
        <f t="shared" si="43"/>
        <v>16970.352099052045</v>
      </c>
      <c r="T46" s="9">
        <f t="shared" si="44"/>
        <v>23852.853079995159</v>
      </c>
      <c r="U46" s="9">
        <f t="shared" si="44"/>
        <v>23036.718429052671</v>
      </c>
      <c r="V46" s="9">
        <f t="shared" si="44"/>
        <v>17840.373983739839</v>
      </c>
    </row>
    <row r="47" spans="2:22" x14ac:dyDescent="0.3">
      <c r="B47" s="157" t="s">
        <v>65</v>
      </c>
      <c r="C47" s="157" t="s">
        <v>66</v>
      </c>
      <c r="D47" s="9">
        <v>498.40100000000001</v>
      </c>
      <c r="E47" s="9">
        <v>3208.7080000000001</v>
      </c>
      <c r="F47" s="9">
        <v>3301.5909999999999</v>
      </c>
      <c r="G47" s="9">
        <v>757.08699999999999</v>
      </c>
      <c r="H47" s="9">
        <v>3483.096</v>
      </c>
      <c r="I47" s="9">
        <v>2624.241</v>
      </c>
      <c r="J47" s="9">
        <v>10909.019</v>
      </c>
      <c r="K47" s="9">
        <v>14889</v>
      </c>
      <c r="L47" s="9">
        <v>12658.273999999999</v>
      </c>
      <c r="M47" s="9"/>
      <c r="N47" s="9">
        <f t="shared" si="45"/>
        <v>1678.6265198208209</v>
      </c>
      <c r="O47" s="9">
        <f t="shared" si="45"/>
        <v>10189.932992473563</v>
      </c>
      <c r="P47" s="9">
        <f t="shared" si="45"/>
        <v>10544.171563617781</v>
      </c>
      <c r="Q47" s="9">
        <f t="shared" si="46"/>
        <v>2417.8813234542667</v>
      </c>
      <c r="R47" s="9">
        <f t="shared" si="46"/>
        <v>11198.945405440165</v>
      </c>
      <c r="S47" s="9">
        <f t="shared" si="43"/>
        <v>8461.4722383439748</v>
      </c>
      <c r="T47" s="9">
        <f t="shared" si="44"/>
        <v>33005.624470531286</v>
      </c>
      <c r="U47" s="9">
        <f t="shared" si="44"/>
        <v>40777.257415167202</v>
      </c>
      <c r="V47" s="9">
        <f t="shared" si="44"/>
        <v>34304.265582655826</v>
      </c>
    </row>
    <row r="48" spans="2:22" x14ac:dyDescent="0.3">
      <c r="B48" s="157" t="s">
        <v>67</v>
      </c>
      <c r="C48" s="157" t="s">
        <v>68</v>
      </c>
      <c r="D48" s="9">
        <v>47.366</v>
      </c>
      <c r="E48" s="9">
        <v>49.792000000000002</v>
      </c>
      <c r="F48" s="9">
        <v>144.36099999999999</v>
      </c>
      <c r="G48" s="9">
        <v>126.687</v>
      </c>
      <c r="H48" s="9">
        <v>108.971</v>
      </c>
      <c r="I48" s="9">
        <v>286.298</v>
      </c>
      <c r="J48" s="9">
        <v>917.12199999999996</v>
      </c>
      <c r="K48" s="9">
        <v>1047.4059999999999</v>
      </c>
      <c r="L48" s="9">
        <v>1687.704</v>
      </c>
      <c r="M48" s="12"/>
      <c r="N48" s="9">
        <f t="shared" si="45"/>
        <v>159.52982385234583</v>
      </c>
      <c r="O48" s="9">
        <f t="shared" si="45"/>
        <v>158.12505954460289</v>
      </c>
      <c r="P48" s="9">
        <f t="shared" si="45"/>
        <v>461.04049565661728</v>
      </c>
      <c r="Q48" s="9">
        <f t="shared" si="46"/>
        <v>404.59568216658147</v>
      </c>
      <c r="R48" s="9">
        <f t="shared" si="46"/>
        <v>350.36653591408918</v>
      </c>
      <c r="S48" s="9">
        <f t="shared" si="43"/>
        <v>923.12504030437867</v>
      </c>
      <c r="T48" s="9">
        <f t="shared" si="44"/>
        <v>2774.7851869780952</v>
      </c>
      <c r="U48" s="9">
        <f t="shared" si="44"/>
        <v>2868.583792074056</v>
      </c>
      <c r="V48" s="9">
        <f t="shared" si="44"/>
        <v>4573.7235772357726</v>
      </c>
    </row>
    <row r="49" spans="2:22" outlineLevel="1" x14ac:dyDescent="0.3">
      <c r="B49" s="157" t="s">
        <v>69</v>
      </c>
      <c r="C49" s="157" t="s">
        <v>70</v>
      </c>
      <c r="D49" s="9">
        <v>53.197000000000003</v>
      </c>
      <c r="E49" s="9">
        <v>71.197000000000003</v>
      </c>
      <c r="F49" s="9">
        <v>206.76300000000001</v>
      </c>
      <c r="G49" s="9">
        <v>268.86500000000001</v>
      </c>
      <c r="H49" s="9">
        <v>325.80799999999999</v>
      </c>
      <c r="I49" s="9">
        <v>277.54300000000001</v>
      </c>
      <c r="J49" s="9">
        <v>599.71600000000001</v>
      </c>
      <c r="K49" s="9">
        <v>866.55</v>
      </c>
      <c r="L49" s="9">
        <v>1487.761</v>
      </c>
      <c r="N49" s="9">
        <f t="shared" si="45"/>
        <v>179.16877168165436</v>
      </c>
      <c r="O49" s="9">
        <f t="shared" si="45"/>
        <v>226.10117818920895</v>
      </c>
      <c r="P49" s="9">
        <f t="shared" si="45"/>
        <v>660.33150229943794</v>
      </c>
      <c r="Q49" s="9">
        <f t="shared" si="46"/>
        <v>858.66440981093513</v>
      </c>
      <c r="R49" s="9">
        <f t="shared" si="46"/>
        <v>1047.5467815574561</v>
      </c>
      <c r="S49" s="9">
        <f t="shared" si="43"/>
        <v>894.89585348552271</v>
      </c>
      <c r="T49" s="9">
        <f t="shared" si="44"/>
        <v>1814.4620597845819</v>
      </c>
      <c r="U49" s="9">
        <f t="shared" si="44"/>
        <v>2373.2643168186673</v>
      </c>
      <c r="V49" s="9">
        <f t="shared" si="44"/>
        <v>4031.8726287262871</v>
      </c>
    </row>
    <row r="50" spans="2:22" outlineLevel="1" x14ac:dyDescent="0.3">
      <c r="B50" s="157" t="s">
        <v>71</v>
      </c>
      <c r="C50" s="157" t="s">
        <v>72</v>
      </c>
      <c r="D50" s="9">
        <v>49.088999999999999</v>
      </c>
      <c r="E50" s="9">
        <v>52.817</v>
      </c>
      <c r="F50" s="9">
        <v>621.59400000000005</v>
      </c>
      <c r="G50" s="9">
        <v>551.67600000000004</v>
      </c>
      <c r="H50" s="9">
        <v>326.08999999999997</v>
      </c>
      <c r="I50" s="9">
        <v>251.739</v>
      </c>
      <c r="J50" s="9">
        <v>568.67999999999995</v>
      </c>
      <c r="K50" s="9">
        <v>850.49300000000005</v>
      </c>
      <c r="L50" s="9">
        <v>944.13599999999997</v>
      </c>
      <c r="N50" s="9">
        <f t="shared" si="45"/>
        <v>165.33292917045566</v>
      </c>
      <c r="O50" s="9">
        <f t="shared" si="45"/>
        <v>167.73158880879038</v>
      </c>
      <c r="P50" s="9">
        <f t="shared" si="45"/>
        <v>1985.1622381195709</v>
      </c>
      <c r="Q50" s="9">
        <f t="shared" si="46"/>
        <v>1761.8676545733267</v>
      </c>
      <c r="R50" s="9">
        <f t="shared" si="46"/>
        <v>1048.4534756607291</v>
      </c>
      <c r="S50" s="9">
        <f t="shared" si="43"/>
        <v>811.69471851421952</v>
      </c>
      <c r="T50" s="9">
        <f t="shared" si="44"/>
        <v>1720.5615393924725</v>
      </c>
      <c r="U50" s="9">
        <f t="shared" si="44"/>
        <v>2329.2881987237424</v>
      </c>
      <c r="V50" s="9">
        <f t="shared" si="44"/>
        <v>2558.6341463414633</v>
      </c>
    </row>
    <row r="51" spans="2:22" outlineLevel="1" x14ac:dyDescent="0.3">
      <c r="B51" s="157" t="s">
        <v>73</v>
      </c>
      <c r="C51" s="157" t="s">
        <v>74</v>
      </c>
      <c r="D51" s="9">
        <v>59.533000000000001</v>
      </c>
      <c r="E51" s="9">
        <v>87.713999999999999</v>
      </c>
      <c r="F51" s="9">
        <v>386.30900000000003</v>
      </c>
      <c r="G51" s="9">
        <v>318.22500000000002</v>
      </c>
      <c r="H51" s="9">
        <v>221.238</v>
      </c>
      <c r="I51" s="9">
        <v>141.24799999999999</v>
      </c>
      <c r="J51" s="9">
        <v>535.67399999999998</v>
      </c>
      <c r="K51" s="9">
        <v>436.86399999999998</v>
      </c>
      <c r="L51" s="9">
        <v>593.86500000000001</v>
      </c>
      <c r="N51" s="9">
        <f t="shared" si="45"/>
        <v>200.50857162102992</v>
      </c>
      <c r="O51" s="9">
        <f t="shared" si="45"/>
        <v>278.55441582774938</v>
      </c>
      <c r="P51" s="9">
        <f t="shared" si="45"/>
        <v>1233.741057741441</v>
      </c>
      <c r="Q51" s="9">
        <f t="shared" si="46"/>
        <v>1016.303653551354</v>
      </c>
      <c r="R51" s="9">
        <f t="shared" si="46"/>
        <v>711.33046106359723</v>
      </c>
      <c r="S51" s="9">
        <f t="shared" si="43"/>
        <v>455.43303024440576</v>
      </c>
      <c r="T51" s="9">
        <f t="shared" si="44"/>
        <v>1620.7007140263827</v>
      </c>
      <c r="U51" s="9">
        <f t="shared" si="44"/>
        <v>1196.4615342480761</v>
      </c>
      <c r="V51" s="9">
        <f t="shared" si="44"/>
        <v>1609.3902439024391</v>
      </c>
    </row>
    <row r="52" spans="2:22" outlineLevel="1" x14ac:dyDescent="0.3">
      <c r="B52" s="157" t="s">
        <v>75</v>
      </c>
      <c r="C52" s="157" t="s">
        <v>76</v>
      </c>
      <c r="D52" s="9">
        <v>478.86</v>
      </c>
      <c r="E52" s="9">
        <v>475.52499999999998</v>
      </c>
      <c r="F52" s="9">
        <v>0</v>
      </c>
      <c r="G52" s="9">
        <v>0</v>
      </c>
      <c r="H52" s="11">
        <v>0</v>
      </c>
      <c r="I52" s="11">
        <v>286.21300000000002</v>
      </c>
      <c r="J52" s="11">
        <v>344.55</v>
      </c>
      <c r="K52" s="11">
        <v>1404.123</v>
      </c>
      <c r="L52" s="11">
        <v>536.09</v>
      </c>
      <c r="N52" s="9">
        <f t="shared" si="45"/>
        <v>1612.8119632211781</v>
      </c>
      <c r="O52" s="9">
        <f t="shared" si="45"/>
        <v>1510.1305217695069</v>
      </c>
      <c r="P52" s="9">
        <f t="shared" si="45"/>
        <v>0</v>
      </c>
      <c r="Q52" s="9">
        <f t="shared" si="46"/>
        <v>0</v>
      </c>
      <c r="R52" s="9">
        <f t="shared" si="46"/>
        <v>0</v>
      </c>
      <c r="S52" s="9">
        <f t="shared" si="43"/>
        <v>922.85097052943843</v>
      </c>
      <c r="T52" s="9">
        <f t="shared" si="44"/>
        <v>1042.4482633426117</v>
      </c>
      <c r="U52" s="9">
        <f t="shared" si="44"/>
        <v>3845.5426834278205</v>
      </c>
      <c r="V52" s="9">
        <f t="shared" si="44"/>
        <v>1452.8184281842821</v>
      </c>
    </row>
    <row r="53" spans="2:22" outlineLevel="1" collapsed="1" x14ac:dyDescent="0.3">
      <c r="B53" s="157"/>
      <c r="C53" s="157"/>
      <c r="D53" s="9"/>
      <c r="E53" s="9"/>
      <c r="F53" s="9"/>
      <c r="G53" s="9"/>
      <c r="H53" s="9"/>
      <c r="I53" s="9"/>
      <c r="J53" s="9"/>
      <c r="K53" s="9"/>
      <c r="L53" s="9"/>
      <c r="N53" s="9"/>
      <c r="O53" s="9"/>
      <c r="P53" s="9"/>
      <c r="Q53" s="9"/>
      <c r="R53" s="9"/>
      <c r="S53" s="9"/>
      <c r="T53" s="9"/>
      <c r="U53" s="9"/>
      <c r="V53" s="9"/>
    </row>
    <row r="54" spans="2:22" x14ac:dyDescent="0.3">
      <c r="B54" s="156" t="s">
        <v>77</v>
      </c>
      <c r="C54" s="156" t="s">
        <v>78</v>
      </c>
      <c r="D54" s="13">
        <f t="shared" ref="D54:G54" si="47">SUM(D55:D62)</f>
        <v>2536.5129999999999</v>
      </c>
      <c r="E54" s="13">
        <f t="shared" si="47"/>
        <v>1898.0939999999998</v>
      </c>
      <c r="F54" s="13">
        <f t="shared" si="47"/>
        <v>4360.8360000000002</v>
      </c>
      <c r="G54" s="13">
        <f t="shared" si="47"/>
        <v>7303.8940000000002</v>
      </c>
      <c r="H54" s="13">
        <f>SUM(H55:H62)</f>
        <v>5277.835</v>
      </c>
      <c r="I54" s="13">
        <f>SUM(I55:I62)</f>
        <v>8583.896999999999</v>
      </c>
      <c r="J54" s="13">
        <f>SUM(J55:J62)</f>
        <v>10066.017</v>
      </c>
      <c r="K54" s="13">
        <f>SUM(K55:K62)</f>
        <v>8430.7999999999993</v>
      </c>
      <c r="L54" s="13">
        <f>SUM(L55:L62)</f>
        <v>17260.502</v>
      </c>
      <c r="N54" s="13">
        <f t="shared" ref="N54" si="48">SUM(N55:N62)</f>
        <v>8543.036610420666</v>
      </c>
      <c r="O54" s="13">
        <f t="shared" ref="O54" si="49">SUM(O55:O62)</f>
        <v>6027.8001841913047</v>
      </c>
      <c r="P54" s="13">
        <f t="shared" ref="P54" si="50">SUM(P55:P62)</f>
        <v>13927.043944813489</v>
      </c>
      <c r="Q54" s="13">
        <f t="shared" ref="Q54" si="51">SUM(Q55:Q62)</f>
        <v>23326.181655595305</v>
      </c>
      <c r="R54" s="13">
        <f>SUM(R55:R62)</f>
        <v>16969.439264355991</v>
      </c>
      <c r="S54" s="13">
        <f>IFERROR(I54/R$3*1000,0)</f>
        <v>27677.490810601663</v>
      </c>
      <c r="T54" s="13">
        <f t="shared" ref="T54:V62" si="52">IFERROR(J54/T$3*1000,0)</f>
        <v>30455.091976279804</v>
      </c>
      <c r="U54" s="13">
        <f t="shared" si="52"/>
        <v>23089.858406594911</v>
      </c>
      <c r="V54" s="13">
        <f t="shared" si="52"/>
        <v>46776.428184281838</v>
      </c>
    </row>
    <row r="55" spans="2:22" x14ac:dyDescent="0.3">
      <c r="B55" s="157" t="s">
        <v>79</v>
      </c>
      <c r="C55" s="97" t="s">
        <v>312</v>
      </c>
      <c r="D55" s="9">
        <v>1079.4010000000001</v>
      </c>
      <c r="E55" s="9">
        <v>299.99799999999999</v>
      </c>
      <c r="F55" s="9">
        <v>733.95399999999995</v>
      </c>
      <c r="G55" s="9">
        <v>500.62400000000002</v>
      </c>
      <c r="H55" s="9">
        <v>522.36400000000003</v>
      </c>
      <c r="I55" s="9">
        <v>614.06200000000001</v>
      </c>
      <c r="J55" s="9">
        <v>463.16500000000002</v>
      </c>
      <c r="K55" s="9">
        <v>929.69299999999998</v>
      </c>
      <c r="L55" s="9">
        <v>419.77800000000002</v>
      </c>
      <c r="N55" s="9">
        <f t="shared" ref="N55:P56" si="53">IFERROR(D55/N$3*1000,0)</f>
        <v>3635.4484523929809</v>
      </c>
      <c r="O55" s="9">
        <f t="shared" si="53"/>
        <v>952.70729461081646</v>
      </c>
      <c r="P55" s="9">
        <f t="shared" si="53"/>
        <v>2344.0022994379151</v>
      </c>
      <c r="Q55" s="9">
        <f>IFERROR(G55/P$3*1000,0)</f>
        <v>1598.8247317322432</v>
      </c>
      <c r="R55" s="9">
        <f>IFERROR(H55/Q$3*1000,0)</f>
        <v>1679.5190019934412</v>
      </c>
      <c r="S55" s="9">
        <f>IFERROR(I55/R$3*1000,0)</f>
        <v>1979.9509898755402</v>
      </c>
      <c r="T55" s="9">
        <f t="shared" si="52"/>
        <v>1401.3221590221469</v>
      </c>
      <c r="U55" s="9">
        <f t="shared" si="52"/>
        <v>2546.1972448169145</v>
      </c>
      <c r="V55" s="9">
        <f t="shared" si="52"/>
        <v>1137.6097560975611</v>
      </c>
    </row>
    <row r="56" spans="2:22" x14ac:dyDescent="0.3">
      <c r="B56" s="157" t="s">
        <v>80</v>
      </c>
      <c r="C56" s="157" t="s">
        <v>179</v>
      </c>
      <c r="D56" s="17">
        <v>0</v>
      </c>
      <c r="E56" s="17">
        <v>0</v>
      </c>
      <c r="F56" s="17">
        <v>0</v>
      </c>
      <c r="G56" s="9">
        <v>2643.366</v>
      </c>
      <c r="H56" s="9">
        <v>24.731999999999999</v>
      </c>
      <c r="I56" s="9">
        <v>982.68299999999999</v>
      </c>
      <c r="J56" s="9">
        <v>2215.114</v>
      </c>
      <c r="K56" s="9">
        <v>0</v>
      </c>
      <c r="L56" s="9">
        <v>2312.1379999999999</v>
      </c>
      <c r="N56" s="9">
        <f t="shared" si="53"/>
        <v>0</v>
      </c>
      <c r="O56" s="9">
        <f t="shared" si="53"/>
        <v>0</v>
      </c>
      <c r="P56" s="9">
        <f t="shared" si="53"/>
        <v>0</v>
      </c>
      <c r="Q56" s="9">
        <f>IFERROR(G56/P$3*1000,0)</f>
        <v>8442.0222278998463</v>
      </c>
      <c r="R56" s="9">
        <f>IFERROR(H56/Q$3*1000,0)</f>
        <v>79.519001993440938</v>
      </c>
      <c r="S56" s="9">
        <f>IFERROR(I56/R$3*1000,0)</f>
        <v>3168.5142193847942</v>
      </c>
      <c r="T56" s="9">
        <f t="shared" si="52"/>
        <v>6701.9060873774661</v>
      </c>
      <c r="U56" s="9">
        <f t="shared" si="52"/>
        <v>0</v>
      </c>
      <c r="V56" s="9">
        <f t="shared" si="52"/>
        <v>6265.9566395663951</v>
      </c>
    </row>
    <row r="57" spans="2:22" ht="15.6" x14ac:dyDescent="0.3">
      <c r="B57" s="218" t="s">
        <v>338</v>
      </c>
      <c r="C57" s="219" t="s">
        <v>339</v>
      </c>
      <c r="D57" s="17"/>
      <c r="E57" s="17"/>
      <c r="F57" s="17"/>
      <c r="G57" s="9"/>
      <c r="H57" s="9"/>
      <c r="I57" s="9"/>
      <c r="J57" s="9">
        <v>108.55500000000001</v>
      </c>
      <c r="K57" s="9">
        <v>154.91200000000001</v>
      </c>
      <c r="L57" s="9">
        <v>237.744</v>
      </c>
      <c r="N57" s="9"/>
      <c r="O57" s="9"/>
      <c r="P57" s="9"/>
      <c r="Q57" s="9"/>
      <c r="R57" s="9"/>
      <c r="S57" s="9"/>
      <c r="T57" s="9">
        <f t="shared" si="52"/>
        <v>328.43700835047804</v>
      </c>
      <c r="U57" s="9">
        <f t="shared" si="52"/>
        <v>424.26533015638267</v>
      </c>
      <c r="V57" s="9">
        <f t="shared" si="52"/>
        <v>644.29268292682923</v>
      </c>
    </row>
    <row r="58" spans="2:22" outlineLevel="1" x14ac:dyDescent="0.3">
      <c r="B58" s="157" t="s">
        <v>81</v>
      </c>
      <c r="C58" s="157" t="s">
        <v>82</v>
      </c>
      <c r="D58" s="9">
        <v>872.524</v>
      </c>
      <c r="E58" s="9">
        <v>958.49300000000005</v>
      </c>
      <c r="F58" s="9">
        <v>1596.1759999999999</v>
      </c>
      <c r="G58" s="9">
        <v>2533.9160000000002</v>
      </c>
      <c r="H58" s="9">
        <v>2092.355</v>
      </c>
      <c r="I58" s="9">
        <v>2419.6129999999998</v>
      </c>
      <c r="J58" s="9">
        <v>1963.934</v>
      </c>
      <c r="K58" s="9">
        <v>2308.413</v>
      </c>
      <c r="L58" s="9">
        <v>4546.4979999999996</v>
      </c>
      <c r="M58" s="12"/>
      <c r="N58" s="9">
        <f t="shared" ref="N58:P62" si="54">IFERROR(D58/N$3*1000,0)</f>
        <v>2938.6817554140985</v>
      </c>
      <c r="O58" s="9">
        <f t="shared" si="54"/>
        <v>3043.8978690971453</v>
      </c>
      <c r="P58" s="9">
        <f t="shared" si="54"/>
        <v>5097.649463464486</v>
      </c>
      <c r="Q58" s="9">
        <f t="shared" ref="Q58:S62" si="55">IFERROR(G58/P$3*1000,0)</f>
        <v>8092.4757281553411</v>
      </c>
      <c r="R58" s="9">
        <f t="shared" si="55"/>
        <v>6727.3969519645043</v>
      </c>
      <c r="S58" s="9">
        <f t="shared" si="55"/>
        <v>7801.6798865028695</v>
      </c>
      <c r="T58" s="9">
        <f t="shared" si="52"/>
        <v>5941.9520755173671</v>
      </c>
      <c r="U58" s="9">
        <f t="shared" si="52"/>
        <v>6322.1674472105824</v>
      </c>
      <c r="V58" s="9">
        <f t="shared" si="52"/>
        <v>12321.132791327913</v>
      </c>
    </row>
    <row r="59" spans="2:22" outlineLevel="1" x14ac:dyDescent="0.3">
      <c r="B59" s="157" t="s">
        <v>83</v>
      </c>
      <c r="C59" s="157" t="s">
        <v>84</v>
      </c>
      <c r="D59" s="9">
        <v>0.4</v>
      </c>
      <c r="E59" s="9">
        <v>0</v>
      </c>
      <c r="F59" s="9">
        <v>102.04600000000001</v>
      </c>
      <c r="G59" s="9">
        <v>41.305999999999997</v>
      </c>
      <c r="H59" s="9">
        <v>305.70400000000001</v>
      </c>
      <c r="I59" s="9">
        <v>602.53300000000002</v>
      </c>
      <c r="J59" s="9">
        <v>1104.3689999999999</v>
      </c>
      <c r="K59" s="9">
        <v>189.13</v>
      </c>
      <c r="L59" s="9">
        <v>0</v>
      </c>
      <c r="N59" s="9">
        <f t="shared" si="54"/>
        <v>1.347209592132296</v>
      </c>
      <c r="O59" s="9">
        <f t="shared" si="54"/>
        <v>0</v>
      </c>
      <c r="P59" s="9">
        <f t="shared" si="54"/>
        <v>325.90061318344402</v>
      </c>
      <c r="Q59" s="9">
        <f t="shared" si="55"/>
        <v>131.91747572815532</v>
      </c>
      <c r="R59" s="9">
        <f t="shared" si="55"/>
        <v>982.90785158510721</v>
      </c>
      <c r="S59" s="9">
        <f t="shared" si="55"/>
        <v>1942.7774553427487</v>
      </c>
      <c r="T59" s="9">
        <f t="shared" si="52"/>
        <v>3341.3076364516519</v>
      </c>
      <c r="U59" s="9">
        <f t="shared" si="52"/>
        <v>517.97989757072821</v>
      </c>
      <c r="V59" s="9">
        <f t="shared" si="52"/>
        <v>0</v>
      </c>
    </row>
    <row r="60" spans="2:22" outlineLevel="1" x14ac:dyDescent="0.3">
      <c r="B60" s="157" t="s">
        <v>85</v>
      </c>
      <c r="C60" s="157" t="s">
        <v>86</v>
      </c>
      <c r="D60" s="9">
        <v>294.46600000000001</v>
      </c>
      <c r="E60" s="9">
        <v>266.428</v>
      </c>
      <c r="F60" s="9">
        <v>1923.877</v>
      </c>
      <c r="G60" s="9">
        <v>1468.8589999999999</v>
      </c>
      <c r="H60" s="9">
        <v>1683.2329999999999</v>
      </c>
      <c r="I60" s="9">
        <v>3584.8510000000001</v>
      </c>
      <c r="J60" s="9">
        <v>3654.71</v>
      </c>
      <c r="K60" s="9">
        <v>4522.9219999999996</v>
      </c>
      <c r="L60" s="9">
        <v>9328.1959999999999</v>
      </c>
      <c r="N60" s="9">
        <f t="shared" si="54"/>
        <v>991.76854939207158</v>
      </c>
      <c r="O60" s="9">
        <f t="shared" si="54"/>
        <v>846.09863761948623</v>
      </c>
      <c r="P60" s="9">
        <f t="shared" si="54"/>
        <v>6144.2162749105773</v>
      </c>
      <c r="Q60" s="9">
        <f t="shared" si="55"/>
        <v>4691.041773122126</v>
      </c>
      <c r="R60" s="9">
        <f t="shared" si="55"/>
        <v>5411.9767217542285</v>
      </c>
      <c r="S60" s="9">
        <f t="shared" si="55"/>
        <v>11558.815373702198</v>
      </c>
      <c r="T60" s="9">
        <f t="shared" si="52"/>
        <v>11057.454919520756</v>
      </c>
      <c r="U60" s="9">
        <f t="shared" si="52"/>
        <v>12387.15525977049</v>
      </c>
      <c r="V60" s="9">
        <f t="shared" si="52"/>
        <v>25279.663956639568</v>
      </c>
    </row>
    <row r="61" spans="2:22" outlineLevel="1" x14ac:dyDescent="0.3">
      <c r="B61" s="157" t="s">
        <v>87</v>
      </c>
      <c r="C61" s="157" t="s">
        <v>88</v>
      </c>
      <c r="D61" s="9">
        <v>0</v>
      </c>
      <c r="E61" s="9">
        <v>1.367</v>
      </c>
      <c r="F61" s="9">
        <v>4.7830000000000004</v>
      </c>
      <c r="G61" s="9">
        <v>9.0730000000000004</v>
      </c>
      <c r="H61" s="9">
        <v>9.8450000000000006</v>
      </c>
      <c r="I61" s="9">
        <v>15.425000000000001</v>
      </c>
      <c r="J61" s="9">
        <v>58.207000000000001</v>
      </c>
      <c r="K61" s="9">
        <v>279.23</v>
      </c>
      <c r="L61" s="9">
        <v>407.15899999999999</v>
      </c>
      <c r="N61" s="9">
        <f t="shared" si="54"/>
        <v>0</v>
      </c>
      <c r="O61" s="9">
        <f t="shared" si="54"/>
        <v>4.3411985137667122</v>
      </c>
      <c r="P61" s="9">
        <f t="shared" si="54"/>
        <v>15.27529381706694</v>
      </c>
      <c r="Q61" s="9">
        <f t="shared" si="55"/>
        <v>28.976111394992337</v>
      </c>
      <c r="R61" s="9">
        <f t="shared" si="55"/>
        <v>31.653912931644268</v>
      </c>
      <c r="S61" s="9">
        <f t="shared" si="55"/>
        <v>49.735603275939901</v>
      </c>
      <c r="T61" s="9">
        <f t="shared" si="52"/>
        <v>176.10734600024205</v>
      </c>
      <c r="U61" s="9">
        <f t="shared" si="52"/>
        <v>764.74132500753171</v>
      </c>
      <c r="V61" s="9">
        <f t="shared" si="52"/>
        <v>1103.4119241192413</v>
      </c>
    </row>
    <row r="62" spans="2:22" outlineLevel="1" x14ac:dyDescent="0.3">
      <c r="B62" s="157" t="s">
        <v>89</v>
      </c>
      <c r="C62" s="157" t="s">
        <v>90</v>
      </c>
      <c r="D62" s="9">
        <v>289.72199999999998</v>
      </c>
      <c r="E62" s="9">
        <v>371.80799999999999</v>
      </c>
      <c r="F62" s="9">
        <v>0</v>
      </c>
      <c r="G62" s="9">
        <v>106.75</v>
      </c>
      <c r="H62" s="9">
        <v>639.60199999999998</v>
      </c>
      <c r="I62" s="9">
        <v>364.73</v>
      </c>
      <c r="J62" s="9">
        <v>497.96300000000002</v>
      </c>
      <c r="K62" s="9">
        <v>46.5</v>
      </c>
      <c r="L62" s="9">
        <v>8.9890000000000008</v>
      </c>
      <c r="N62" s="9">
        <f t="shared" si="54"/>
        <v>975.79064362938254</v>
      </c>
      <c r="O62" s="9">
        <f t="shared" si="54"/>
        <v>1180.7551843500905</v>
      </c>
      <c r="P62" s="9">
        <f t="shared" si="54"/>
        <v>0</v>
      </c>
      <c r="Q62" s="9">
        <f t="shared" si="55"/>
        <v>340.92360756259581</v>
      </c>
      <c r="R62" s="9">
        <f t="shared" si="55"/>
        <v>2056.4658221336249</v>
      </c>
      <c r="S62" s="9">
        <f t="shared" si="55"/>
        <v>1176.0172825175728</v>
      </c>
      <c r="T62" s="9">
        <f t="shared" si="52"/>
        <v>1506.6047440396953</v>
      </c>
      <c r="U62" s="9">
        <f t="shared" si="52"/>
        <v>127.35190206227919</v>
      </c>
      <c r="V62" s="9">
        <f t="shared" si="52"/>
        <v>24.360433604336045</v>
      </c>
    </row>
    <row r="63" spans="2:22" ht="15" outlineLevel="1" thickBot="1" x14ac:dyDescent="0.35">
      <c r="B63" s="157"/>
      <c r="C63" s="157"/>
      <c r="D63" s="9"/>
      <c r="E63" s="9"/>
      <c r="F63" s="9"/>
      <c r="G63" s="9"/>
      <c r="H63" s="9"/>
      <c r="I63" s="9"/>
      <c r="J63" s="9"/>
      <c r="K63" s="9"/>
      <c r="L63" s="9"/>
      <c r="N63" s="9"/>
      <c r="O63" s="9"/>
      <c r="P63" s="9"/>
      <c r="Q63" s="9"/>
      <c r="R63" s="9"/>
      <c r="S63" s="9"/>
      <c r="T63" s="9"/>
      <c r="U63" s="9"/>
      <c r="V63" s="9"/>
    </row>
    <row r="64" spans="2:22" ht="15" thickBot="1" x14ac:dyDescent="0.35">
      <c r="B64" s="159" t="s">
        <v>91</v>
      </c>
      <c r="C64" s="159" t="s">
        <v>92</v>
      </c>
      <c r="D64" s="14">
        <f t="shared" ref="D64:F64" si="56">+D54+D45+D33</f>
        <v>8536.601999999999</v>
      </c>
      <c r="E64" s="14">
        <f t="shared" si="56"/>
        <v>9788.3069999999989</v>
      </c>
      <c r="F64" s="14">
        <f t="shared" si="56"/>
        <v>13939.216</v>
      </c>
      <c r="G64" s="14">
        <f t="shared" ref="G64:L64" si="57">+G54+G45+G33</f>
        <v>16147.832999999999</v>
      </c>
      <c r="H64" s="14">
        <f t="shared" si="57"/>
        <v>16652.12</v>
      </c>
      <c r="I64" s="14">
        <f t="shared" si="57"/>
        <v>22859.096999999998</v>
      </c>
      <c r="J64" s="14">
        <f t="shared" si="57"/>
        <v>37574.506999999998</v>
      </c>
      <c r="K64" s="14">
        <f t="shared" si="57"/>
        <v>44884.29</v>
      </c>
      <c r="L64" s="14">
        <f t="shared" si="57"/>
        <v>60760.748</v>
      </c>
      <c r="N64" s="14">
        <f t="shared" ref="N64:P64" si="58">+N54+N45+N33</f>
        <v>28751.480246539351</v>
      </c>
      <c r="O64" s="14">
        <f t="shared" si="58"/>
        <v>31084.845501603737</v>
      </c>
      <c r="P64" s="14">
        <f t="shared" si="58"/>
        <v>44517.169136433316</v>
      </c>
      <c r="Q64" s="14">
        <f>+Q54+Q45+Q33</f>
        <v>51570.749233520706</v>
      </c>
      <c r="R64" s="14">
        <f>+R54+R45+R33</f>
        <v>53540.35110282297</v>
      </c>
      <c r="S64" s="14">
        <f>+S54+S45+S33</f>
        <v>73705.736119171983</v>
      </c>
      <c r="T64" s="14">
        <f>+T54+T45+T33</f>
        <v>113683.00556698538</v>
      </c>
      <c r="U64" s="14">
        <f>+U54+U45+U33</f>
        <v>122926.875359461</v>
      </c>
      <c r="V64" s="14">
        <f>+V54+V45+V33</f>
        <v>164663.27371273711</v>
      </c>
    </row>
    <row r="65" spans="1:22" x14ac:dyDescent="0.3">
      <c r="B65" s="8"/>
      <c r="C65" s="8"/>
      <c r="D65" s="17"/>
      <c r="E65" s="17"/>
      <c r="F65" s="18"/>
      <c r="G65" s="18"/>
      <c r="H65" s="18"/>
      <c r="I65" s="18"/>
      <c r="J65" s="18"/>
    </row>
    <row r="66" spans="1:22" x14ac:dyDescent="0.3">
      <c r="B66" s="8"/>
      <c r="C66" s="8"/>
      <c r="D66" s="18">
        <f>+D64-D31</f>
        <v>0</v>
      </c>
      <c r="E66" s="18">
        <f t="shared" ref="E66:I66" si="59">+E64-E31</f>
        <v>0</v>
      </c>
      <c r="F66" s="18">
        <f t="shared" si="59"/>
        <v>0</v>
      </c>
      <c r="G66" s="18">
        <f t="shared" si="59"/>
        <v>0</v>
      </c>
      <c r="H66" s="18">
        <f t="shared" si="59"/>
        <v>0</v>
      </c>
      <c r="I66" s="18">
        <f t="shared" si="59"/>
        <v>-1.0000000002037268E-3</v>
      </c>
      <c r="J66" s="18"/>
      <c r="K66" s="18"/>
      <c r="L66" s="18"/>
      <c r="M66" s="18">
        <f t="shared" ref="M66:R66" si="60">+N64-N31</f>
        <v>0</v>
      </c>
      <c r="N66" s="18">
        <f t="shared" si="60"/>
        <v>0</v>
      </c>
      <c r="O66" s="18">
        <f t="shared" si="60"/>
        <v>0</v>
      </c>
      <c r="P66" s="18">
        <f t="shared" si="60"/>
        <v>0</v>
      </c>
      <c r="Q66" s="18">
        <f t="shared" si="60"/>
        <v>0</v>
      </c>
      <c r="R66" s="18">
        <f t="shared" si="60"/>
        <v>-3.2243502937490121E-3</v>
      </c>
    </row>
    <row r="67" spans="1:22" x14ac:dyDescent="0.3">
      <c r="B67" s="8"/>
      <c r="C67" s="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22" x14ac:dyDescent="0.3">
      <c r="A68" s="1" t="s">
        <v>272</v>
      </c>
      <c r="B68" s="8" t="s">
        <v>167</v>
      </c>
      <c r="C68" s="8"/>
      <c r="D68" s="18"/>
      <c r="E68" s="18"/>
      <c r="F68" s="18"/>
      <c r="G68" s="18"/>
      <c r="H68" s="18"/>
      <c r="I68" s="18"/>
      <c r="J68" s="18"/>
      <c r="K68" s="18"/>
      <c r="L68" s="18"/>
      <c r="M68" s="42">
        <v>296.92</v>
      </c>
      <c r="N68" s="42">
        <v>308.66000000000003</v>
      </c>
      <c r="O68" s="42">
        <v>309.89999999999998</v>
      </c>
      <c r="P68" s="422"/>
      <c r="Q68" s="42">
        <v>311.45999999999998</v>
      </c>
      <c r="R68" s="42">
        <v>318.87</v>
      </c>
      <c r="S68" s="42">
        <v>325.35000000000002</v>
      </c>
      <c r="T68" s="42">
        <v>351.17</v>
      </c>
      <c r="U68" s="42">
        <v>351.17</v>
      </c>
      <c r="V68" s="42">
        <v>358.52</v>
      </c>
    </row>
    <row r="69" spans="1:22" x14ac:dyDescent="0.3">
      <c r="B69" s="3" t="s">
        <v>165</v>
      </c>
      <c r="C69" s="3" t="s">
        <v>281</v>
      </c>
      <c r="G69" s="3">
        <v>2016</v>
      </c>
      <c r="H69" s="3">
        <v>2017</v>
      </c>
      <c r="I69" s="3">
        <v>2018</v>
      </c>
      <c r="J69" s="3">
        <v>2019</v>
      </c>
      <c r="K69" s="3">
        <v>2020</v>
      </c>
      <c r="L69" s="3">
        <v>2021</v>
      </c>
      <c r="P69" s="423"/>
      <c r="Q69" s="3">
        <v>2016</v>
      </c>
      <c r="R69" s="3">
        <v>2017</v>
      </c>
      <c r="S69" s="3">
        <v>2018</v>
      </c>
      <c r="T69" s="3">
        <v>2019</v>
      </c>
      <c r="U69" s="3">
        <v>2020</v>
      </c>
      <c r="V69" s="3">
        <v>2021</v>
      </c>
    </row>
    <row r="70" spans="1:22" x14ac:dyDescent="0.3">
      <c r="B70" s="3"/>
      <c r="C70" s="3" t="s">
        <v>166</v>
      </c>
      <c r="G70" s="3" t="s">
        <v>3</v>
      </c>
      <c r="H70" s="3" t="s">
        <v>3</v>
      </c>
      <c r="I70" s="3" t="s">
        <v>3</v>
      </c>
      <c r="J70" s="3" t="s">
        <v>3</v>
      </c>
      <c r="K70" s="3" t="s">
        <v>3</v>
      </c>
      <c r="L70" s="3" t="s">
        <v>3</v>
      </c>
      <c r="P70" s="423"/>
      <c r="Q70" s="3" t="s">
        <v>3</v>
      </c>
      <c r="R70" s="3" t="s">
        <v>3</v>
      </c>
      <c r="S70" s="3" t="s">
        <v>3</v>
      </c>
      <c r="T70" s="3" t="s">
        <v>3</v>
      </c>
      <c r="U70" s="3" t="s">
        <v>3</v>
      </c>
      <c r="V70" s="3" t="s">
        <v>3</v>
      </c>
    </row>
    <row r="71" spans="1:22" x14ac:dyDescent="0.3">
      <c r="B71" s="21" t="s">
        <v>97</v>
      </c>
      <c r="C71" s="21" t="s">
        <v>141</v>
      </c>
      <c r="G71" s="22">
        <v>13948.218707</v>
      </c>
      <c r="H71" s="22">
        <v>18389.28427</v>
      </c>
      <c r="I71" s="22">
        <v>18685.767</v>
      </c>
      <c r="J71" s="22">
        <v>25573.350251</v>
      </c>
      <c r="K71" s="22">
        <v>32981.300999999999</v>
      </c>
      <c r="L71" s="22">
        <v>44249.447999999997</v>
      </c>
      <c r="P71" s="424"/>
      <c r="Q71" s="22">
        <f>+G71/Q$68*1000</f>
        <v>44783.338813972907</v>
      </c>
      <c r="R71" s="22">
        <f t="shared" ref="R71:V86" si="61">+H71/R$68*1000</f>
        <v>57670.16110013485</v>
      </c>
      <c r="S71" s="22">
        <f t="shared" si="61"/>
        <v>57432.816966343933</v>
      </c>
      <c r="T71" s="22">
        <f t="shared" si="61"/>
        <v>72823.2771905345</v>
      </c>
      <c r="U71" s="22">
        <f t="shared" si="61"/>
        <v>93918.333001110572</v>
      </c>
      <c r="V71" s="22">
        <f t="shared" si="61"/>
        <v>123422.53709695414</v>
      </c>
    </row>
    <row r="72" spans="1:22" x14ac:dyDescent="0.3">
      <c r="B72" s="23" t="s">
        <v>169</v>
      </c>
      <c r="C72" s="23" t="s">
        <v>142</v>
      </c>
      <c r="G72" s="24">
        <v>-9249.8197920000002</v>
      </c>
      <c r="H72" s="24">
        <v>-14606.384983</v>
      </c>
      <c r="I72" s="24">
        <v>-14264.353999999999</v>
      </c>
      <c r="J72" s="24">
        <v>-18211.867753999999</v>
      </c>
      <c r="K72" s="24">
        <v>-23072.429</v>
      </c>
      <c r="L72" s="24">
        <v>-25624.444</v>
      </c>
      <c r="P72" s="425"/>
      <c r="Q72" s="24">
        <f t="shared" ref="Q72:Q90" si="62">+G72/Q$68*1000</f>
        <v>-29698.259140820654</v>
      </c>
      <c r="R72" s="24">
        <f t="shared" si="61"/>
        <v>-45806.708009533664</v>
      </c>
      <c r="S72" s="24">
        <f t="shared" si="61"/>
        <v>-43843.104349162437</v>
      </c>
      <c r="T72" s="24">
        <f t="shared" si="61"/>
        <v>-51860.545473702186</v>
      </c>
      <c r="U72" s="24">
        <f t="shared" si="61"/>
        <v>-65701.594669248501</v>
      </c>
      <c r="V72" s="24">
        <f t="shared" si="61"/>
        <v>-71472.843913868128</v>
      </c>
    </row>
    <row r="73" spans="1:22" x14ac:dyDescent="0.3">
      <c r="B73" s="25" t="s">
        <v>143</v>
      </c>
      <c r="C73" s="25" t="s">
        <v>144</v>
      </c>
      <c r="G73" s="26">
        <v>-2315.8180090000001</v>
      </c>
      <c r="H73" s="26">
        <v>-2153.922556</v>
      </c>
      <c r="I73" s="26">
        <v>-2506.5340000000001</v>
      </c>
      <c r="J73" s="26">
        <v>-2858.1641120000004</v>
      </c>
      <c r="K73" s="26">
        <v>-3770.04</v>
      </c>
      <c r="L73" s="26">
        <v>-4192.2370000000001</v>
      </c>
      <c r="P73" s="426"/>
      <c r="Q73" s="26">
        <f t="shared" si="62"/>
        <v>-7435.3625152507557</v>
      </c>
      <c r="R73" s="26">
        <f t="shared" si="61"/>
        <v>-6754.8610907266284</v>
      </c>
      <c r="S73" s="26">
        <f t="shared" si="61"/>
        <v>-7704.1155678500081</v>
      </c>
      <c r="T73" s="26">
        <f t="shared" si="61"/>
        <v>-8138.9757439416817</v>
      </c>
      <c r="U73" s="26">
        <f t="shared" si="61"/>
        <v>-10735.655095822534</v>
      </c>
      <c r="V73" s="26">
        <f t="shared" si="61"/>
        <v>-11693.174718286287</v>
      </c>
    </row>
    <row r="74" spans="1:22" x14ac:dyDescent="0.3">
      <c r="B74" s="25" t="s">
        <v>145</v>
      </c>
      <c r="C74" s="25" t="s">
        <v>146</v>
      </c>
      <c r="G74" s="26">
        <v>-601.331996</v>
      </c>
      <c r="H74" s="26">
        <v>-571.66508499999998</v>
      </c>
      <c r="I74" s="26">
        <v>-729.81799999999998</v>
      </c>
      <c r="J74" s="26">
        <v>-2045.7517579999999</v>
      </c>
      <c r="K74" s="26">
        <v>-2858.5230000000001</v>
      </c>
      <c r="L74" s="26">
        <v>-3936.6689999999999</v>
      </c>
      <c r="P74" s="426"/>
      <c r="Q74" s="26">
        <f t="shared" si="62"/>
        <v>-1930.6877159185772</v>
      </c>
      <c r="R74" s="26">
        <f t="shared" si="61"/>
        <v>-1792.7841596889014</v>
      </c>
      <c r="S74" s="26">
        <f t="shared" si="61"/>
        <v>-2243.178115875211</v>
      </c>
      <c r="T74" s="26">
        <f t="shared" si="61"/>
        <v>-5825.5311045932167</v>
      </c>
      <c r="U74" s="26">
        <f t="shared" si="61"/>
        <v>-8139.9977219010734</v>
      </c>
      <c r="V74" s="26">
        <f t="shared" si="61"/>
        <v>-10980.333035813901</v>
      </c>
    </row>
    <row r="75" spans="1:22" x14ac:dyDescent="0.3">
      <c r="B75" s="25" t="s">
        <v>107</v>
      </c>
      <c r="C75" s="25" t="s">
        <v>147</v>
      </c>
      <c r="G75" s="26">
        <v>-68.911270999999999</v>
      </c>
      <c r="H75" s="26">
        <v>305.97678999999999</v>
      </c>
      <c r="I75" s="26">
        <v>-146.83500000000001</v>
      </c>
      <c r="J75" s="26">
        <v>-804.28131999999994</v>
      </c>
      <c r="K75" s="26">
        <v>-1228.018</v>
      </c>
      <c r="L75" s="26">
        <v>-1795.605</v>
      </c>
      <c r="P75" s="426"/>
      <c r="Q75" s="26">
        <f t="shared" si="62"/>
        <v>-221.25239517112951</v>
      </c>
      <c r="R75" s="26">
        <f t="shared" si="61"/>
        <v>959.56593596136349</v>
      </c>
      <c r="S75" s="26">
        <f t="shared" si="61"/>
        <v>-451.31396957123098</v>
      </c>
      <c r="T75" s="26">
        <f t="shared" si="61"/>
        <v>-2290.2905145655945</v>
      </c>
      <c r="U75" s="26">
        <f t="shared" si="61"/>
        <v>-3496.9331093202723</v>
      </c>
      <c r="V75" s="26">
        <f t="shared" si="61"/>
        <v>-5008.381680240991</v>
      </c>
    </row>
    <row r="76" spans="1:22" x14ac:dyDescent="0.3">
      <c r="B76" s="25" t="s">
        <v>148</v>
      </c>
      <c r="C76" s="25" t="s">
        <v>149</v>
      </c>
      <c r="G76" s="26">
        <v>-228.953</v>
      </c>
      <c r="H76" s="26">
        <v>-1.35</v>
      </c>
      <c r="I76" s="26">
        <v>0</v>
      </c>
      <c r="J76" s="26">
        <v>0</v>
      </c>
      <c r="K76" s="26">
        <v>0</v>
      </c>
      <c r="L76" s="26">
        <v>0</v>
      </c>
      <c r="P76" s="426"/>
      <c r="Q76" s="26">
        <f t="shared" si="62"/>
        <v>-735.09599948629045</v>
      </c>
      <c r="R76" s="26">
        <f t="shared" si="61"/>
        <v>-4.2337002540220148</v>
      </c>
      <c r="S76" s="26">
        <f t="shared" si="61"/>
        <v>0</v>
      </c>
      <c r="T76" s="26">
        <f t="shared" si="61"/>
        <v>0</v>
      </c>
      <c r="U76" s="26">
        <f t="shared" si="61"/>
        <v>0</v>
      </c>
      <c r="V76" s="26">
        <f t="shared" si="61"/>
        <v>0</v>
      </c>
    </row>
    <row r="77" spans="1:22" x14ac:dyDescent="0.3">
      <c r="B77" s="25" t="s">
        <v>438</v>
      </c>
      <c r="C77" s="25" t="s">
        <v>418</v>
      </c>
      <c r="G77" s="26"/>
      <c r="H77" s="26"/>
      <c r="I77" s="26"/>
      <c r="J77" s="26"/>
      <c r="K77" s="26">
        <v>512.226</v>
      </c>
      <c r="L77" s="26">
        <v>242.82599999999999</v>
      </c>
      <c r="P77" s="426"/>
      <c r="Q77" s="26">
        <f t="shared" si="62"/>
        <v>0</v>
      </c>
      <c r="R77" s="26">
        <f t="shared" si="61"/>
        <v>0</v>
      </c>
      <c r="S77" s="26">
        <f t="shared" si="61"/>
        <v>0</v>
      </c>
      <c r="T77" s="26">
        <f t="shared" si="61"/>
        <v>0</v>
      </c>
      <c r="U77" s="26">
        <f t="shared" si="61"/>
        <v>1458.6268758720846</v>
      </c>
      <c r="V77" s="26">
        <f t="shared" si="61"/>
        <v>677.30112685484767</v>
      </c>
    </row>
    <row r="78" spans="1:22" x14ac:dyDescent="0.3">
      <c r="B78" s="27" t="s">
        <v>150</v>
      </c>
      <c r="C78" s="27" t="s">
        <v>151</v>
      </c>
      <c r="G78" s="28">
        <f>SUM(G71:G76)</f>
        <v>1483.3846389999999</v>
      </c>
      <c r="H78" s="28">
        <f>SUM(H71:H76)</f>
        <v>1361.9384360000001</v>
      </c>
      <c r="I78" s="83">
        <f>SUM(I71:I76)</f>
        <v>1038.2260000000003</v>
      </c>
      <c r="J78" s="83">
        <f>SUM(J71:J76)</f>
        <v>1653.2853070000006</v>
      </c>
      <c r="K78" s="83">
        <f>SUM(K71:K77)</f>
        <v>2564.5169999999994</v>
      </c>
      <c r="L78" s="83">
        <f>SUM(L71:L77)</f>
        <v>8943.3189999999959</v>
      </c>
      <c r="P78" s="152"/>
      <c r="Q78" s="84">
        <f t="shared" si="62"/>
        <v>4762.6810473254991</v>
      </c>
      <c r="R78" s="84">
        <f t="shared" si="61"/>
        <v>4271.1400758929976</v>
      </c>
      <c r="S78" s="84">
        <f t="shared" si="61"/>
        <v>3191.1049638850477</v>
      </c>
      <c r="T78" s="84">
        <f t="shared" si="61"/>
        <v>4707.9343537318127</v>
      </c>
      <c r="U78" s="84">
        <f t="shared" si="61"/>
        <v>7302.7792806902626</v>
      </c>
      <c r="V78" s="84">
        <f t="shared" si="61"/>
        <v>24945.104875599678</v>
      </c>
    </row>
    <row r="79" spans="1:22" x14ac:dyDescent="0.3">
      <c r="B79" s="25" t="s">
        <v>152</v>
      </c>
      <c r="C79" s="25" t="s">
        <v>153</v>
      </c>
      <c r="G79" s="26">
        <v>-455.72423900000001</v>
      </c>
      <c r="H79" s="26">
        <v>-329.10903100000002</v>
      </c>
      <c r="I79" s="26">
        <v>-232.333</v>
      </c>
      <c r="J79" s="26">
        <v>-943.82029</v>
      </c>
      <c r="K79" s="26">
        <v>-1090.316</v>
      </c>
      <c r="L79" s="26">
        <v>-1871.0509999999999</v>
      </c>
      <c r="P79" s="426"/>
      <c r="Q79" s="26">
        <f t="shared" si="62"/>
        <v>-1463.187051306749</v>
      </c>
      <c r="R79" s="26">
        <f t="shared" si="61"/>
        <v>-1032.1103615893626</v>
      </c>
      <c r="S79" s="26">
        <f t="shared" si="61"/>
        <v>-714.10173659136308</v>
      </c>
      <c r="T79" s="26">
        <f t="shared" si="61"/>
        <v>-2687.6449867585497</v>
      </c>
      <c r="U79" s="26">
        <f t="shared" si="61"/>
        <v>-3104.8096363584586</v>
      </c>
      <c r="V79" s="26">
        <f t="shared" si="61"/>
        <v>-5218.8190338056456</v>
      </c>
    </row>
    <row r="80" spans="1:22" x14ac:dyDescent="0.3">
      <c r="B80" s="29" t="s">
        <v>119</v>
      </c>
      <c r="C80" s="29" t="s">
        <v>154</v>
      </c>
      <c r="G80" s="28">
        <f t="shared" ref="G80:L80" si="63">+G78+G79</f>
        <v>1027.6603999999998</v>
      </c>
      <c r="H80" s="28">
        <f t="shared" si="63"/>
        <v>1032.8294050000002</v>
      </c>
      <c r="I80" s="28">
        <f t="shared" si="63"/>
        <v>805.89300000000037</v>
      </c>
      <c r="J80" s="84">
        <f t="shared" si="63"/>
        <v>709.46501700000056</v>
      </c>
      <c r="K80" s="84">
        <f t="shared" si="63"/>
        <v>1474.2009999999993</v>
      </c>
      <c r="L80" s="84">
        <f t="shared" si="63"/>
        <v>7072.2679999999964</v>
      </c>
      <c r="P80" s="152"/>
      <c r="Q80" s="84">
        <f t="shared" si="62"/>
        <v>3299.4939960187498</v>
      </c>
      <c r="R80" s="84">
        <f t="shared" si="61"/>
        <v>3239.0297143036355</v>
      </c>
      <c r="S80" s="84">
        <f t="shared" si="61"/>
        <v>2477.0032272936846</v>
      </c>
      <c r="T80" s="84">
        <f t="shared" si="61"/>
        <v>2020.2893669732625</v>
      </c>
      <c r="U80" s="84">
        <f t="shared" si="61"/>
        <v>4197.9696443318026</v>
      </c>
      <c r="V80" s="84">
        <f t="shared" si="61"/>
        <v>19726.285841794033</v>
      </c>
    </row>
    <row r="81" spans="2:22" x14ac:dyDescent="0.3">
      <c r="B81" s="25" t="s">
        <v>121</v>
      </c>
      <c r="C81" s="25" t="s">
        <v>155</v>
      </c>
      <c r="G81" s="26">
        <v>-204.73514900000001</v>
      </c>
      <c r="H81" s="26">
        <v>-117.87471600000001</v>
      </c>
      <c r="I81" s="26">
        <v>-275.81400000000002</v>
      </c>
      <c r="J81" s="26">
        <v>-435.83447100000001</v>
      </c>
      <c r="K81" s="26">
        <v>-883.66</v>
      </c>
      <c r="L81" s="26">
        <v>-1214.818</v>
      </c>
      <c r="P81" s="426"/>
      <c r="Q81" s="26">
        <f t="shared" si="62"/>
        <v>-657.34010466833627</v>
      </c>
      <c r="R81" s="26">
        <f t="shared" si="61"/>
        <v>-369.66386301627625</v>
      </c>
      <c r="S81" s="26">
        <f t="shared" si="61"/>
        <v>-847.74550484094061</v>
      </c>
      <c r="T81" s="26">
        <f t="shared" si="61"/>
        <v>-1241.0925506165104</v>
      </c>
      <c r="U81" s="26">
        <f t="shared" si="61"/>
        <v>-2516.3311216789584</v>
      </c>
      <c r="V81" s="26">
        <f t="shared" si="61"/>
        <v>-3388.4246346089481</v>
      </c>
    </row>
    <row r="82" spans="2:22" x14ac:dyDescent="0.3">
      <c r="B82" s="82" t="s">
        <v>279</v>
      </c>
      <c r="C82" s="38" t="s">
        <v>280</v>
      </c>
      <c r="G82" s="26"/>
      <c r="H82" s="26">
        <v>-136</v>
      </c>
      <c r="I82" s="26">
        <v>-212</v>
      </c>
      <c r="J82" s="26">
        <f>-301.451-46.233</f>
        <v>-347.68400000000003</v>
      </c>
      <c r="K82" s="26">
        <v>-417.96600000000001</v>
      </c>
      <c r="L82" s="26">
        <v>-417.96600000000001</v>
      </c>
      <c r="P82" s="426"/>
      <c r="Q82" s="26">
        <f t="shared" si="62"/>
        <v>0</v>
      </c>
      <c r="R82" s="26">
        <f t="shared" si="61"/>
        <v>-426.50609966444006</v>
      </c>
      <c r="S82" s="26">
        <f t="shared" si="61"/>
        <v>-651.60596280928235</v>
      </c>
      <c r="T82" s="26">
        <f t="shared" si="61"/>
        <v>-990.0731839280121</v>
      </c>
      <c r="U82" s="26">
        <f t="shared" si="61"/>
        <v>-1190.2098698635987</v>
      </c>
      <c r="V82" s="26">
        <f t="shared" si="61"/>
        <v>-1165.8094388039719</v>
      </c>
    </row>
    <row r="83" spans="2:22" x14ac:dyDescent="0.3">
      <c r="B83" s="29" t="s">
        <v>123</v>
      </c>
      <c r="C83" s="29" t="s">
        <v>156</v>
      </c>
      <c r="G83" s="28">
        <f t="shared" ref="G83:L83" si="64">+G80+G81</f>
        <v>822.92525099999978</v>
      </c>
      <c r="H83" s="28">
        <f t="shared" si="64"/>
        <v>914.95468900000014</v>
      </c>
      <c r="I83" s="28">
        <f t="shared" si="64"/>
        <v>530.07900000000041</v>
      </c>
      <c r="J83" s="84">
        <f t="shared" si="64"/>
        <v>273.63054600000055</v>
      </c>
      <c r="K83" s="84">
        <f t="shared" si="64"/>
        <v>590.54099999999937</v>
      </c>
      <c r="L83" s="84">
        <f t="shared" si="64"/>
        <v>5857.4499999999962</v>
      </c>
      <c r="P83" s="152"/>
      <c r="Q83" s="84">
        <f t="shared" si="62"/>
        <v>2642.1538913504132</v>
      </c>
      <c r="R83" s="84">
        <f t="shared" si="61"/>
        <v>2869.365851287359</v>
      </c>
      <c r="S83" s="84">
        <f t="shared" si="61"/>
        <v>1629.2577224527442</v>
      </c>
      <c r="T83" s="84">
        <f t="shared" si="61"/>
        <v>779.19681635675181</v>
      </c>
      <c r="U83" s="84">
        <f t="shared" si="61"/>
        <v>1681.6385226528444</v>
      </c>
      <c r="V83" s="84">
        <f t="shared" si="61"/>
        <v>16337.861207185086</v>
      </c>
    </row>
    <row r="84" spans="2:22" x14ac:dyDescent="0.3">
      <c r="B84" s="31" t="s">
        <v>125</v>
      </c>
      <c r="C84" s="25" t="s">
        <v>157</v>
      </c>
      <c r="G84" s="26">
        <v>728.10356541538465</v>
      </c>
      <c r="H84" s="26">
        <v>912.52596700000004</v>
      </c>
      <c r="I84" s="26">
        <v>511.21800000000002</v>
      </c>
      <c r="J84" s="26">
        <v>270.71654599999812</v>
      </c>
      <c r="K84" s="26">
        <v>586.66300000000001</v>
      </c>
      <c r="L84" s="26">
        <v>5855.1840000000002</v>
      </c>
      <c r="P84" s="426"/>
      <c r="Q84" s="26">
        <f t="shared" si="62"/>
        <v>2337.711312577489</v>
      </c>
      <c r="R84" s="26">
        <f t="shared" si="61"/>
        <v>2861.7491987330263</v>
      </c>
      <c r="S84" s="26">
        <f t="shared" si="61"/>
        <v>1571.2863070539418</v>
      </c>
      <c r="T84" s="26">
        <f t="shared" si="61"/>
        <v>770.89884101716575</v>
      </c>
      <c r="U84" s="26">
        <f t="shared" si="61"/>
        <v>1670.5954381068998</v>
      </c>
      <c r="V84" s="26">
        <f t="shared" si="61"/>
        <v>16331.540778757113</v>
      </c>
    </row>
    <row r="85" spans="2:22" x14ac:dyDescent="0.3">
      <c r="B85" s="32" t="s">
        <v>158</v>
      </c>
      <c r="C85" s="32" t="s">
        <v>159</v>
      </c>
      <c r="G85" s="33">
        <v>94.821685584615366</v>
      </c>
      <c r="H85" s="33">
        <v>2.428722</v>
      </c>
      <c r="I85" s="33">
        <v>18.861000000000001</v>
      </c>
      <c r="J85" s="33">
        <v>2.9140000000000001</v>
      </c>
      <c r="K85" s="33">
        <v>3.8780000000000001</v>
      </c>
      <c r="L85" s="33">
        <v>2.266</v>
      </c>
      <c r="P85" s="426"/>
      <c r="Q85" s="33">
        <f t="shared" si="62"/>
        <v>304.44257877292546</v>
      </c>
      <c r="R85" s="33">
        <f t="shared" si="61"/>
        <v>7.6166525543324868</v>
      </c>
      <c r="S85" s="33">
        <f t="shared" si="61"/>
        <v>57.971415398801291</v>
      </c>
      <c r="T85" s="33">
        <f t="shared" si="61"/>
        <v>8.2979753395791214</v>
      </c>
      <c r="U85" s="33">
        <f t="shared" si="61"/>
        <v>11.043084545946408</v>
      </c>
      <c r="V85" s="33">
        <f t="shared" si="61"/>
        <v>6.3204284279817022</v>
      </c>
    </row>
    <row r="86" spans="2:22" ht="15" thickBot="1" x14ac:dyDescent="0.35">
      <c r="B86" s="25" t="s">
        <v>160</v>
      </c>
      <c r="C86" s="25" t="s">
        <v>161</v>
      </c>
      <c r="G86" s="26">
        <v>547.51092714919992</v>
      </c>
      <c r="H86" s="26">
        <v>-479.54411900000002</v>
      </c>
      <c r="I86" s="26">
        <v>-259.63200000000001</v>
      </c>
      <c r="J86" s="26">
        <v>-1415.65</v>
      </c>
      <c r="K86" s="26">
        <v>2114.2919999999999</v>
      </c>
      <c r="L86" s="26">
        <v>4906.63</v>
      </c>
      <c r="P86" s="426"/>
      <c r="Q86" s="26">
        <f t="shared" si="62"/>
        <v>1757.8852088525009</v>
      </c>
      <c r="R86" s="26">
        <f t="shared" si="61"/>
        <v>-1503.8859692037506</v>
      </c>
      <c r="S86" s="26">
        <f t="shared" si="61"/>
        <v>-798.00829875518662</v>
      </c>
      <c r="T86" s="26">
        <f t="shared" si="61"/>
        <v>-4031.2384315288891</v>
      </c>
      <c r="U86" s="26">
        <f t="shared" si="61"/>
        <v>6020.7079192413921</v>
      </c>
      <c r="V86" s="26">
        <f t="shared" si="61"/>
        <v>13685.791587638068</v>
      </c>
    </row>
    <row r="87" spans="2:22" ht="15.6" thickTop="1" thickBot="1" x14ac:dyDescent="0.35">
      <c r="B87" s="34" t="s">
        <v>132</v>
      </c>
      <c r="C87" s="34" t="s">
        <v>162</v>
      </c>
      <c r="G87" s="35">
        <f>+G83+G86</f>
        <v>1370.4361781491998</v>
      </c>
      <c r="H87" s="35">
        <f>+H83+H86</f>
        <v>435.41057000000012</v>
      </c>
      <c r="I87" s="35">
        <f>+I86+I83</f>
        <v>270.4470000000004</v>
      </c>
      <c r="J87" s="85">
        <f>+J86+J83</f>
        <v>-1142.0194539999995</v>
      </c>
      <c r="K87" s="85">
        <f>+K86+K83</f>
        <v>2704.8329999999992</v>
      </c>
      <c r="L87" s="85">
        <f>+L86+L83</f>
        <v>10764.079999999996</v>
      </c>
      <c r="P87" s="152"/>
      <c r="Q87" s="85">
        <f t="shared" si="62"/>
        <v>4400.0391002029146</v>
      </c>
      <c r="R87" s="85">
        <f t="shared" ref="R87:R90" si="65">+H87/R$68*1000</f>
        <v>1365.4798820836081</v>
      </c>
      <c r="S87" s="85">
        <f t="shared" ref="S87:S90" si="66">+I87/S$68*1000</f>
        <v>831.24942369755763</v>
      </c>
      <c r="T87" s="85">
        <f t="shared" ref="T87:T90" si="67">+J87/T$68*1000</f>
        <v>-3252.0416151721374</v>
      </c>
      <c r="U87" s="85">
        <f t="shared" ref="U87:U90" si="68">+K87/U$68*1000</f>
        <v>7702.3464418942358</v>
      </c>
      <c r="V87" s="85">
        <f t="shared" ref="V87:V90" si="69">+L87/V$68*1000</f>
        <v>30023.652794823152</v>
      </c>
    </row>
    <row r="88" spans="2:22" ht="15" thickTop="1" x14ac:dyDescent="0.3">
      <c r="B88" s="25" t="s">
        <v>125</v>
      </c>
      <c r="C88" s="25" t="s">
        <v>157</v>
      </c>
      <c r="G88" s="26">
        <v>1275.6144925645845</v>
      </c>
      <c r="H88" s="26">
        <v>432.98184800000001</v>
      </c>
      <c r="I88" s="26">
        <v>251.58600000000001</v>
      </c>
      <c r="J88" s="26"/>
      <c r="K88" s="26"/>
      <c r="L88" s="26"/>
      <c r="P88" s="426"/>
      <c r="Q88" s="26">
        <f t="shared" si="62"/>
        <v>4095.5965214299895</v>
      </c>
      <c r="R88" s="26">
        <f t="shared" si="65"/>
        <v>1357.8632295292753</v>
      </c>
      <c r="S88" s="26">
        <f t="shared" si="66"/>
        <v>773.27800829875514</v>
      </c>
      <c r="T88" s="26">
        <f t="shared" si="67"/>
        <v>0</v>
      </c>
      <c r="U88" s="26">
        <f t="shared" si="68"/>
        <v>0</v>
      </c>
      <c r="V88" s="26">
        <f t="shared" si="69"/>
        <v>0</v>
      </c>
    </row>
    <row r="89" spans="2:22" ht="15" thickBot="1" x14ac:dyDescent="0.35">
      <c r="B89" s="25" t="s">
        <v>158</v>
      </c>
      <c r="C89" s="32" t="s">
        <v>159</v>
      </c>
      <c r="G89" s="26">
        <v>94.821685584615366</v>
      </c>
      <c r="H89" s="26">
        <v>2.428722</v>
      </c>
      <c r="I89" s="26">
        <v>18.861000000000001</v>
      </c>
      <c r="J89" s="26"/>
      <c r="K89" s="26"/>
      <c r="L89" s="26"/>
      <c r="P89" s="426"/>
      <c r="Q89" s="26">
        <f t="shared" si="62"/>
        <v>304.44257877292546</v>
      </c>
      <c r="R89" s="26">
        <f t="shared" si="65"/>
        <v>7.6166525543324868</v>
      </c>
      <c r="S89" s="26">
        <f t="shared" si="66"/>
        <v>57.971415398801291</v>
      </c>
      <c r="T89" s="26">
        <f t="shared" si="67"/>
        <v>0</v>
      </c>
      <c r="U89" s="26">
        <f t="shared" si="68"/>
        <v>0</v>
      </c>
      <c r="V89" s="26">
        <f t="shared" si="69"/>
        <v>0</v>
      </c>
    </row>
    <row r="90" spans="2:22" ht="15.6" thickTop="1" thickBot="1" x14ac:dyDescent="0.35">
      <c r="B90" s="34" t="s">
        <v>139</v>
      </c>
      <c r="C90" s="34" t="s">
        <v>139</v>
      </c>
      <c r="G90" s="35">
        <f>+G78-G76-G74</f>
        <v>2313.6696349999997</v>
      </c>
      <c r="H90" s="35">
        <f>+H78-H76-H74</f>
        <v>1934.9535209999999</v>
      </c>
      <c r="I90" s="35">
        <v>1800.567</v>
      </c>
      <c r="J90" s="85">
        <v>3779.18</v>
      </c>
      <c r="K90" s="293">
        <v>5512</v>
      </c>
      <c r="L90" s="293">
        <v>12879.987999999999</v>
      </c>
      <c r="P90" s="152"/>
      <c r="Q90" s="85">
        <f t="shared" si="62"/>
        <v>7428.4647627303657</v>
      </c>
      <c r="R90" s="85">
        <f t="shared" si="65"/>
        <v>6068.1579358359204</v>
      </c>
      <c r="S90" s="85">
        <f t="shared" si="66"/>
        <v>5534.2461964038721</v>
      </c>
      <c r="T90" s="85">
        <f t="shared" si="67"/>
        <v>10761.682376057179</v>
      </c>
      <c r="U90" s="85">
        <f t="shared" si="68"/>
        <v>15696.101603212119</v>
      </c>
      <c r="V90" s="85">
        <f t="shared" si="69"/>
        <v>35925.437911413588</v>
      </c>
    </row>
    <row r="91" spans="2:22" ht="15" thickTop="1" x14ac:dyDescent="0.3">
      <c r="B91" s="36"/>
      <c r="C91" s="36"/>
      <c r="D91" s="36"/>
      <c r="E91" s="36"/>
      <c r="F91" s="36"/>
      <c r="P91" s="36"/>
      <c r="Q91" s="36"/>
    </row>
    <row r="92" spans="2:22" x14ac:dyDescent="0.3">
      <c r="B92" s="8"/>
      <c r="C92" s="8"/>
      <c r="D92" s="18"/>
      <c r="E92" s="18"/>
      <c r="F92" s="18"/>
      <c r="G92" s="18"/>
      <c r="H92" s="18"/>
    </row>
    <row r="93" spans="2:22" ht="15.6" x14ac:dyDescent="0.3">
      <c r="B93" s="44" t="s">
        <v>273</v>
      </c>
      <c r="C93" s="8"/>
      <c r="D93" s="18"/>
      <c r="E93" s="18"/>
      <c r="F93" s="18"/>
      <c r="G93" s="18"/>
      <c r="H93" s="18"/>
    </row>
    <row r="94" spans="2:22" x14ac:dyDescent="0.3">
      <c r="B94" s="8"/>
      <c r="C94" s="8"/>
      <c r="D94" s="18"/>
      <c r="E94" s="18"/>
      <c r="F94" s="18"/>
      <c r="G94" s="18"/>
      <c r="H94" s="18"/>
    </row>
    <row r="95" spans="2:22" x14ac:dyDescent="0.3">
      <c r="B95" s="2"/>
      <c r="C95" s="2" t="s">
        <v>96</v>
      </c>
      <c r="D95" s="3">
        <v>2013</v>
      </c>
      <c r="E95" s="3">
        <v>2014</v>
      </c>
      <c r="F95" s="3">
        <v>2015</v>
      </c>
      <c r="G95" s="3">
        <v>2016</v>
      </c>
      <c r="H95" s="18"/>
      <c r="M95" s="3">
        <v>2013</v>
      </c>
      <c r="N95" s="3">
        <v>2014</v>
      </c>
      <c r="O95" s="3">
        <v>2015</v>
      </c>
      <c r="P95" s="3">
        <v>2016</v>
      </c>
    </row>
    <row r="96" spans="2:22" x14ac:dyDescent="0.3">
      <c r="B96" s="2"/>
      <c r="C96" s="4" t="s">
        <v>2</v>
      </c>
      <c r="D96" s="3" t="s">
        <v>3</v>
      </c>
      <c r="E96" s="3" t="s">
        <v>3</v>
      </c>
      <c r="F96" s="3" t="s">
        <v>3</v>
      </c>
      <c r="G96" s="3" t="s">
        <v>3</v>
      </c>
      <c r="H96" s="18"/>
      <c r="M96" s="3" t="s">
        <v>3</v>
      </c>
      <c r="N96" s="3" t="s">
        <v>3</v>
      </c>
      <c r="O96" s="3" t="s">
        <v>3</v>
      </c>
      <c r="P96" s="3" t="s">
        <v>3</v>
      </c>
    </row>
    <row r="97" spans="2:16" x14ac:dyDescent="0.3">
      <c r="B97" s="8" t="s">
        <v>97</v>
      </c>
      <c r="C97" s="8" t="s">
        <v>98</v>
      </c>
      <c r="D97" s="9">
        <v>6172.3940000000002</v>
      </c>
      <c r="E97" s="9">
        <v>5860.0439999999999</v>
      </c>
      <c r="F97" s="9">
        <v>10699.412</v>
      </c>
      <c r="G97" s="9">
        <v>13948.218999999999</v>
      </c>
      <c r="H97" s="18"/>
      <c r="J97" s="30"/>
      <c r="K97" s="81"/>
      <c r="L97" s="81"/>
      <c r="M97" s="9">
        <f>+D97/M$68*1000</f>
        <v>20788.070860837935</v>
      </c>
      <c r="N97" s="9">
        <f>+E97/N$68*1000</f>
        <v>18985.433810665454</v>
      </c>
      <c r="O97" s="9">
        <f>+F97/O$68*1000</f>
        <v>34525.369474023886</v>
      </c>
      <c r="P97" s="9">
        <f>+G97/Q$68*1000</f>
        <v>44783.339754703651</v>
      </c>
    </row>
    <row r="98" spans="2:16" x14ac:dyDescent="0.3">
      <c r="B98" s="8" t="s">
        <v>99</v>
      </c>
      <c r="C98" s="8" t="s">
        <v>100</v>
      </c>
      <c r="D98" s="9">
        <v>-5187.491</v>
      </c>
      <c r="E98" s="9">
        <v>-4889.9620000000004</v>
      </c>
      <c r="F98" s="9">
        <v>-8378.84</v>
      </c>
      <c r="G98" s="9">
        <v>-10881.753000000001</v>
      </c>
      <c r="H98" s="18"/>
      <c r="M98" s="9">
        <f t="shared" ref="M98:M118" si="70">+D98/M$68*1000</f>
        <v>-17471.005658089718</v>
      </c>
      <c r="N98" s="9">
        <f t="shared" ref="N98:N118" si="71">+E98/N$68*1000</f>
        <v>-15842.55167498218</v>
      </c>
      <c r="O98" s="9">
        <f t="shared" ref="O98:O118" si="72">+F98/O$68*1000</f>
        <v>-27037.237818651181</v>
      </c>
      <c r="P98" s="9">
        <f>+G98/Q$68*1000</f>
        <v>-34937.882874205359</v>
      </c>
    </row>
    <row r="99" spans="2:16" x14ac:dyDescent="0.3">
      <c r="B99" s="6" t="s">
        <v>101</v>
      </c>
      <c r="C99" s="6" t="s">
        <v>102</v>
      </c>
      <c r="D99" s="13">
        <f>D97+D98</f>
        <v>984.90300000000025</v>
      </c>
      <c r="E99" s="13">
        <f>E97+E98</f>
        <v>970.08199999999943</v>
      </c>
      <c r="F99" s="13">
        <f>F97+F98</f>
        <v>2320.5720000000001</v>
      </c>
      <c r="G99" s="13">
        <f>G97+G98</f>
        <v>3066.4659999999985</v>
      </c>
      <c r="M99" s="13">
        <f t="shared" si="70"/>
        <v>3317.0652027482156</v>
      </c>
      <c r="N99" s="13">
        <f t="shared" si="71"/>
        <v>3142.8821356832741</v>
      </c>
      <c r="O99" s="13">
        <f t="shared" si="72"/>
        <v>7488.131655372702</v>
      </c>
      <c r="P99" s="13">
        <f>+G99/Q$68*1000</f>
        <v>9845.4568804982955</v>
      </c>
    </row>
    <row r="100" spans="2:16" x14ac:dyDescent="0.3">
      <c r="B100" s="8" t="s">
        <v>103</v>
      </c>
      <c r="C100" s="8" t="s">
        <v>104</v>
      </c>
      <c r="D100" s="9">
        <v>-473.03800000000001</v>
      </c>
      <c r="E100" s="9">
        <v>-544.62900000000002</v>
      </c>
      <c r="F100" s="9">
        <v>-1384.998</v>
      </c>
      <c r="G100" s="9">
        <v>-1267.9100000000001</v>
      </c>
      <c r="M100" s="9">
        <f t="shared" si="70"/>
        <v>-1593.1496699447662</v>
      </c>
      <c r="N100" s="9">
        <f t="shared" si="71"/>
        <v>-1764.4949134970518</v>
      </c>
      <c r="O100" s="9">
        <f t="shared" si="72"/>
        <v>-4469.1771539206202</v>
      </c>
      <c r="P100" s="9">
        <f>+G100/Q$68*1000</f>
        <v>-4070.8598214859057</v>
      </c>
    </row>
    <row r="101" spans="2:16" x14ac:dyDescent="0.3">
      <c r="B101" s="8" t="s">
        <v>105</v>
      </c>
      <c r="C101" s="8" t="s">
        <v>106</v>
      </c>
      <c r="D101" s="9">
        <v>-13.48</v>
      </c>
      <c r="E101" s="9">
        <v>-12.75</v>
      </c>
      <c r="F101" s="9">
        <v>-26.515000000000001</v>
      </c>
      <c r="G101" s="9">
        <v>-17.306000000000001</v>
      </c>
      <c r="M101" s="9">
        <f t="shared" si="70"/>
        <v>-45.399434191027886</v>
      </c>
      <c r="N101" s="9">
        <f t="shared" si="71"/>
        <v>-41.307587636882005</v>
      </c>
      <c r="O101" s="9">
        <f t="shared" si="72"/>
        <v>-85.55985801871573</v>
      </c>
      <c r="P101" s="9">
        <f>+G101/Q$68*1000</f>
        <v>-55.564117382649464</v>
      </c>
    </row>
    <row r="102" spans="2:16" x14ac:dyDescent="0.3">
      <c r="B102" s="8" t="s">
        <v>107</v>
      </c>
      <c r="C102" s="8" t="s">
        <v>108</v>
      </c>
      <c r="D102" s="9">
        <v>-102.943</v>
      </c>
      <c r="E102" s="9">
        <v>-97.417000000000002</v>
      </c>
      <c r="F102" s="9">
        <v>-430.666</v>
      </c>
      <c r="G102" s="9">
        <v>-297.86399999999998</v>
      </c>
      <c r="M102" s="9">
        <f t="shared" si="70"/>
        <v>-346.70281557321834</v>
      </c>
      <c r="N102" s="9">
        <f t="shared" si="71"/>
        <v>-315.61264822134382</v>
      </c>
      <c r="O102" s="9">
        <f t="shared" si="72"/>
        <v>-1389.6934494998388</v>
      </c>
      <c r="P102" s="9">
        <f>+G102/Q$68*1000</f>
        <v>-956.34752456174147</v>
      </c>
    </row>
    <row r="103" spans="2:16" x14ac:dyDescent="0.3">
      <c r="B103" s="6" t="s">
        <v>109</v>
      </c>
      <c r="C103" s="6" t="s">
        <v>110</v>
      </c>
      <c r="D103" s="13">
        <f t="shared" ref="D103:F103" si="73">SUM(D99:D102)</f>
        <v>395.44200000000023</v>
      </c>
      <c r="E103" s="13">
        <f t="shared" si="73"/>
        <v>315.28599999999938</v>
      </c>
      <c r="F103" s="13">
        <f t="shared" si="73"/>
        <v>478.39300000000009</v>
      </c>
      <c r="G103" s="13">
        <f t="shared" ref="G103" si="74">SUM(G99:G102)</f>
        <v>1483.3859999999984</v>
      </c>
      <c r="M103" s="13">
        <f t="shared" si="70"/>
        <v>1331.813283039203</v>
      </c>
      <c r="N103" s="13">
        <f t="shared" si="71"/>
        <v>1021.4669863279963</v>
      </c>
      <c r="O103" s="13">
        <f t="shared" si="72"/>
        <v>1543.7011939335273</v>
      </c>
      <c r="P103" s="13">
        <f>+G103/Q$68*1000</f>
        <v>4762.6854170679972</v>
      </c>
    </row>
    <row r="104" spans="2:16" x14ac:dyDescent="0.3">
      <c r="B104" s="19" t="s">
        <v>111</v>
      </c>
      <c r="C104" s="19" t="s">
        <v>112</v>
      </c>
      <c r="D104" s="9">
        <v>35.944000000000003</v>
      </c>
      <c r="E104" s="9">
        <v>32</v>
      </c>
      <c r="F104" s="9">
        <v>29.094000000000001</v>
      </c>
      <c r="G104" s="9">
        <v>7.6280000000000001</v>
      </c>
      <c r="M104" s="9">
        <f t="shared" si="70"/>
        <v>121.05617674794559</v>
      </c>
      <c r="N104" s="9">
        <f t="shared" si="71"/>
        <v>103.6739454415862</v>
      </c>
      <c r="O104" s="9">
        <f t="shared" si="72"/>
        <v>93.881897386253641</v>
      </c>
      <c r="P104" s="9">
        <f>+G104/Q$68*1000</f>
        <v>24.491106402106212</v>
      </c>
    </row>
    <row r="105" spans="2:16" x14ac:dyDescent="0.3">
      <c r="B105" s="19" t="s">
        <v>113</v>
      </c>
      <c r="C105" s="19" t="s">
        <v>114</v>
      </c>
      <c r="D105" s="9">
        <f>(-398410-54397-8331)/1000</f>
        <v>-461.13799999999998</v>
      </c>
      <c r="E105" s="9">
        <v>-635.87300000000005</v>
      </c>
      <c r="F105" s="9">
        <v>-663.79399999999998</v>
      </c>
      <c r="G105" s="9">
        <v>-463.35300000000001</v>
      </c>
      <c r="M105" s="9">
        <f t="shared" si="70"/>
        <v>-1553.0715344200457</v>
      </c>
      <c r="N105" s="9">
        <f t="shared" si="71"/>
        <v>-2060.1082096805549</v>
      </c>
      <c r="O105" s="9">
        <f t="shared" si="72"/>
        <v>-2141.9619232010327</v>
      </c>
      <c r="P105" s="9">
        <f>+G105/Q$68*1000</f>
        <v>-1487.6806010402622</v>
      </c>
    </row>
    <row r="106" spans="2:16" x14ac:dyDescent="0.3">
      <c r="B106" s="8" t="s">
        <v>115</v>
      </c>
      <c r="C106" s="8" t="s">
        <v>116</v>
      </c>
      <c r="D106" s="9">
        <f t="shared" ref="D106:E106" si="75">+D104+D105</f>
        <v>-425.19399999999996</v>
      </c>
      <c r="E106" s="9">
        <f t="shared" si="75"/>
        <v>-603.87300000000005</v>
      </c>
      <c r="F106" s="9">
        <f>+F104+F105</f>
        <v>-634.69999999999993</v>
      </c>
      <c r="G106" s="9">
        <f t="shared" ref="G106" si="76">+G104+G105</f>
        <v>-455.72500000000002</v>
      </c>
      <c r="M106" s="9">
        <f t="shared" si="70"/>
        <v>-1432.0153576721</v>
      </c>
      <c r="N106" s="9">
        <f t="shared" si="71"/>
        <v>-1956.4342642389686</v>
      </c>
      <c r="O106" s="9">
        <f t="shared" si="72"/>
        <v>-2048.0800258147788</v>
      </c>
      <c r="P106" s="9">
        <f>+G106/Q$68*1000</f>
        <v>-1463.1894946381558</v>
      </c>
    </row>
    <row r="107" spans="2:16" x14ac:dyDescent="0.3">
      <c r="B107" s="8" t="s">
        <v>117</v>
      </c>
      <c r="C107" s="8" t="s">
        <v>118</v>
      </c>
      <c r="D107" s="9">
        <v>0</v>
      </c>
      <c r="E107" s="9">
        <v>0</v>
      </c>
      <c r="F107" s="9">
        <v>1464.2719999999999</v>
      </c>
      <c r="G107" s="9">
        <v>0</v>
      </c>
      <c r="M107" s="9">
        <f t="shared" si="70"/>
        <v>0</v>
      </c>
      <c r="N107" s="9">
        <f t="shared" si="71"/>
        <v>0</v>
      </c>
      <c r="O107" s="9">
        <f t="shared" si="72"/>
        <v>4724.982252339465</v>
      </c>
      <c r="P107" s="9">
        <f>+G107/Q$68*1000</f>
        <v>0</v>
      </c>
    </row>
    <row r="108" spans="2:16" x14ac:dyDescent="0.3">
      <c r="B108" s="6" t="s">
        <v>119</v>
      </c>
      <c r="C108" s="6" t="s">
        <v>120</v>
      </c>
      <c r="D108" s="13">
        <f>D103+D106+D107</f>
        <v>-29.751999999999725</v>
      </c>
      <c r="E108" s="13">
        <f>E103+E106+E107</f>
        <v>-288.58700000000067</v>
      </c>
      <c r="F108" s="13">
        <f>F103+F106+F107</f>
        <v>1307.9650000000001</v>
      </c>
      <c r="G108" s="13">
        <f>G103+G106+G107</f>
        <v>1027.6609999999982</v>
      </c>
      <c r="M108" s="13">
        <f t="shared" si="70"/>
        <v>-100.20207463289682</v>
      </c>
      <c r="N108" s="13">
        <f t="shared" si="71"/>
        <v>-934.96727791097214</v>
      </c>
      <c r="O108" s="13">
        <f t="shared" si="72"/>
        <v>4220.6034204582129</v>
      </c>
      <c r="P108" s="13">
        <f>+G108/Q$68*1000</f>
        <v>3299.4959224298414</v>
      </c>
    </row>
    <row r="109" spans="2:16" x14ac:dyDescent="0.3">
      <c r="B109" s="8" t="s">
        <v>121</v>
      </c>
      <c r="C109" s="8" t="s">
        <v>122</v>
      </c>
      <c r="D109" s="9">
        <v>-27.709</v>
      </c>
      <c r="E109" s="9">
        <v>-57.326000000000001</v>
      </c>
      <c r="F109" s="9">
        <v>-142.19</v>
      </c>
      <c r="G109" s="9">
        <v>-204.73500000000001</v>
      </c>
      <c r="M109" s="9">
        <f t="shared" si="70"/>
        <v>-93.321433382729339</v>
      </c>
      <c r="N109" s="9">
        <f t="shared" si="71"/>
        <v>-185.72539363701159</v>
      </c>
      <c r="O109" s="9">
        <f t="shared" si="72"/>
        <v>-458.82542755727656</v>
      </c>
      <c r="P109" s="9">
        <f>+G109/Q$68*1000</f>
        <v>-657.33962627624737</v>
      </c>
    </row>
    <row r="110" spans="2:16" x14ac:dyDescent="0.3">
      <c r="B110" s="6" t="s">
        <v>123</v>
      </c>
      <c r="C110" s="6" t="s">
        <v>124</v>
      </c>
      <c r="D110" s="13">
        <f t="shared" ref="D110:G110" si="77">D108+D109</f>
        <v>-57.460999999999729</v>
      </c>
      <c r="E110" s="13">
        <f t="shared" si="77"/>
        <v>-345.91300000000069</v>
      </c>
      <c r="F110" s="13">
        <f t="shared" si="77"/>
        <v>1165.7750000000001</v>
      </c>
      <c r="G110" s="13">
        <f t="shared" si="77"/>
        <v>822.92599999999823</v>
      </c>
      <c r="M110" s="13">
        <f t="shared" si="70"/>
        <v>-193.52350801562619</v>
      </c>
      <c r="N110" s="13">
        <f t="shared" si="71"/>
        <v>-1120.6926715479838</v>
      </c>
      <c r="O110" s="13">
        <f t="shared" si="72"/>
        <v>3761.7779929009366</v>
      </c>
      <c r="P110" s="13">
        <f>+G110/Q$68*1000</f>
        <v>2642.1562961535938</v>
      </c>
    </row>
    <row r="111" spans="2:16" x14ac:dyDescent="0.3">
      <c r="B111" s="19" t="s">
        <v>125</v>
      </c>
      <c r="C111" s="19" t="s">
        <v>126</v>
      </c>
      <c r="D111" s="9">
        <v>-57.460999999999999</v>
      </c>
      <c r="E111" s="9">
        <v>-345.91300000000001</v>
      </c>
      <c r="F111" s="9">
        <v>1087.403</v>
      </c>
      <c r="G111" s="9">
        <v>728.10400000000004</v>
      </c>
      <c r="M111" s="9">
        <f t="shared" si="70"/>
        <v>-193.5235080156271</v>
      </c>
      <c r="N111" s="9">
        <f t="shared" si="71"/>
        <v>-1120.6926715479815</v>
      </c>
      <c r="O111" s="9">
        <f t="shared" si="72"/>
        <v>3508.8835108099393</v>
      </c>
      <c r="P111" s="9">
        <f>+G111/Q$68*1000</f>
        <v>2337.7127078918643</v>
      </c>
    </row>
    <row r="112" spans="2:16" x14ac:dyDescent="0.3">
      <c r="B112" s="19" t="s">
        <v>127</v>
      </c>
      <c r="C112" s="19" t="s">
        <v>128</v>
      </c>
      <c r="D112" s="9">
        <v>0</v>
      </c>
      <c r="E112" s="9">
        <v>0</v>
      </c>
      <c r="F112" s="9">
        <v>78.372</v>
      </c>
      <c r="G112" s="9">
        <v>94.822000000000003</v>
      </c>
      <c r="M112" s="9">
        <f t="shared" si="70"/>
        <v>0</v>
      </c>
      <c r="N112" s="9">
        <f t="shared" si="71"/>
        <v>0</v>
      </c>
      <c r="O112" s="9">
        <f t="shared" si="72"/>
        <v>252.89448209099714</v>
      </c>
      <c r="P112" s="9">
        <f>+G112/Q$68*1000</f>
        <v>304.44358826173504</v>
      </c>
    </row>
    <row r="113" spans="2:22" x14ac:dyDescent="0.3">
      <c r="B113" s="6" t="s">
        <v>129</v>
      </c>
      <c r="C113" s="6" t="s">
        <v>130</v>
      </c>
      <c r="D113" s="13">
        <v>0</v>
      </c>
      <c r="E113" s="13">
        <v>0</v>
      </c>
      <c r="F113" s="13">
        <v>-107.176</v>
      </c>
      <c r="G113" s="13">
        <v>547.51099999999997</v>
      </c>
      <c r="M113" s="13">
        <f t="shared" si="70"/>
        <v>0</v>
      </c>
      <c r="N113" s="13">
        <f t="shared" si="71"/>
        <v>0</v>
      </c>
      <c r="O113" s="13">
        <f t="shared" si="72"/>
        <v>-345.84059373991613</v>
      </c>
      <c r="P113" s="13">
        <f>+G113/Q$68*1000</f>
        <v>1757.8854427534836</v>
      </c>
    </row>
    <row r="114" spans="2:22" x14ac:dyDescent="0.3">
      <c r="B114" s="19" t="s">
        <v>125</v>
      </c>
      <c r="C114" s="19" t="s">
        <v>126</v>
      </c>
      <c r="D114" s="9"/>
      <c r="E114" s="9"/>
      <c r="F114" s="9"/>
      <c r="G114" s="9"/>
      <c r="M114" s="9">
        <f t="shared" si="70"/>
        <v>0</v>
      </c>
      <c r="N114" s="9">
        <f t="shared" si="71"/>
        <v>0</v>
      </c>
      <c r="O114" s="9">
        <f t="shared" si="72"/>
        <v>0</v>
      </c>
      <c r="P114" s="9">
        <f>+G114/Q$68*1000</f>
        <v>0</v>
      </c>
    </row>
    <row r="115" spans="2:22" x14ac:dyDescent="0.3">
      <c r="B115" s="19" t="s">
        <v>131</v>
      </c>
      <c r="C115" s="19" t="s">
        <v>128</v>
      </c>
      <c r="D115" s="9"/>
      <c r="E115" s="9"/>
      <c r="F115" s="9"/>
      <c r="G115" s="9"/>
      <c r="M115" s="9">
        <f t="shared" si="70"/>
        <v>0</v>
      </c>
      <c r="N115" s="9">
        <f t="shared" si="71"/>
        <v>0</v>
      </c>
      <c r="O115" s="9">
        <f t="shared" si="72"/>
        <v>0</v>
      </c>
      <c r="P115" s="9">
        <f>+G115/Q$68*1000</f>
        <v>0</v>
      </c>
    </row>
    <row r="116" spans="2:22" x14ac:dyDescent="0.3">
      <c r="B116" s="6" t="s">
        <v>132</v>
      </c>
      <c r="C116" s="6" t="s">
        <v>133</v>
      </c>
      <c r="D116" s="13">
        <f>+D110+D113</f>
        <v>-57.460999999999729</v>
      </c>
      <c r="E116" s="13">
        <f t="shared" ref="E116:G116" si="78">+E110+E113</f>
        <v>-345.91300000000069</v>
      </c>
      <c r="F116" s="13">
        <f t="shared" si="78"/>
        <v>1058.5990000000002</v>
      </c>
      <c r="G116" s="13">
        <f t="shared" si="78"/>
        <v>1370.4369999999981</v>
      </c>
      <c r="M116" s="13">
        <f t="shared" si="70"/>
        <v>-193.52350801562619</v>
      </c>
      <c r="N116" s="13">
        <f t="shared" si="71"/>
        <v>-1120.6926715479838</v>
      </c>
      <c r="O116" s="13">
        <f t="shared" si="72"/>
        <v>3415.93739916102</v>
      </c>
      <c r="P116" s="13">
        <f>+G116/Q$68*1000</f>
        <v>4400.0417389070772</v>
      </c>
    </row>
    <row r="117" spans="2:22" x14ac:dyDescent="0.3">
      <c r="B117" s="19" t="s">
        <v>125</v>
      </c>
      <c r="C117" s="19" t="s">
        <v>126</v>
      </c>
      <c r="D117" s="9">
        <v>-57.461000000000183</v>
      </c>
      <c r="E117" s="9">
        <v>-345.91300000000001</v>
      </c>
      <c r="F117" s="9">
        <v>996.80899999999974</v>
      </c>
      <c r="G117" s="9">
        <v>1275.615</v>
      </c>
      <c r="M117" s="9">
        <f t="shared" si="70"/>
        <v>-193.5235080156277</v>
      </c>
      <c r="N117" s="9">
        <f t="shared" si="71"/>
        <v>-1120.6926715479815</v>
      </c>
      <c r="O117" s="9">
        <f t="shared" si="72"/>
        <v>3216.5505001613419</v>
      </c>
      <c r="P117" s="9">
        <f>+G117/Q$68*1000</f>
        <v>4095.5981506453477</v>
      </c>
    </row>
    <row r="118" spans="2:22" x14ac:dyDescent="0.3">
      <c r="B118" s="19" t="s">
        <v>134</v>
      </c>
      <c r="C118" s="19" t="s">
        <v>128</v>
      </c>
      <c r="D118" s="9">
        <v>0</v>
      </c>
      <c r="E118" s="9">
        <v>0</v>
      </c>
      <c r="F118" s="9">
        <v>61.79</v>
      </c>
      <c r="G118" s="9">
        <v>94.822000000000003</v>
      </c>
      <c r="M118" s="9">
        <f t="shared" si="70"/>
        <v>0</v>
      </c>
      <c r="N118" s="9">
        <f t="shared" si="71"/>
        <v>0</v>
      </c>
      <c r="O118" s="9">
        <f t="shared" si="72"/>
        <v>199.38689899967733</v>
      </c>
      <c r="P118" s="9">
        <f>+G118/Q$68*1000</f>
        <v>304.44358826173504</v>
      </c>
    </row>
    <row r="119" spans="2:22" x14ac:dyDescent="0.3">
      <c r="B119" s="20"/>
      <c r="C119" s="20"/>
      <c r="D119" s="39"/>
      <c r="E119" s="39"/>
      <c r="F119" s="39"/>
      <c r="G119" s="39"/>
      <c r="M119" s="39"/>
      <c r="N119" s="39"/>
      <c r="O119" s="39"/>
      <c r="P119" s="39"/>
    </row>
    <row r="120" spans="2:22" hidden="1" x14ac:dyDescent="0.3">
      <c r="B120" s="15" t="s">
        <v>135</v>
      </c>
      <c r="C120" s="15" t="s">
        <v>136</v>
      </c>
      <c r="D120" s="40">
        <v>-34.47</v>
      </c>
      <c r="E120" s="40">
        <v>-206.27</v>
      </c>
      <c r="F120" s="40">
        <v>597.70000000000005</v>
      </c>
      <c r="G120" s="40">
        <v>751.61</v>
      </c>
      <c r="M120" s="40">
        <f t="shared" ref="M120:P121" si="79">+D120/M$68</f>
        <v>-0.1160918765997575</v>
      </c>
      <c r="N120" s="40">
        <f t="shared" si="79"/>
        <v>-0.66827577269487459</v>
      </c>
      <c r="O120" s="40">
        <f t="shared" si="79"/>
        <v>1.9286866731203618</v>
      </c>
      <c r="P120" s="40" t="e">
        <f t="shared" si="79"/>
        <v>#DIV/0!</v>
      </c>
    </row>
    <row r="121" spans="2:22" hidden="1" x14ac:dyDescent="0.3">
      <c r="B121" s="5" t="s">
        <v>137</v>
      </c>
      <c r="C121" s="5" t="s">
        <v>138</v>
      </c>
      <c r="D121" s="41">
        <v>-34.47</v>
      </c>
      <c r="E121" s="41">
        <v>-206.27</v>
      </c>
      <c r="F121" s="41">
        <v>597.70000000000005</v>
      </c>
      <c r="G121" s="41">
        <v>749.87</v>
      </c>
      <c r="M121" s="41">
        <f t="shared" si="79"/>
        <v>-0.1160918765997575</v>
      </c>
      <c r="N121" s="41">
        <f t="shared" si="79"/>
        <v>-0.66827577269487459</v>
      </c>
      <c r="O121" s="41">
        <f t="shared" si="79"/>
        <v>1.9286866731203618</v>
      </c>
      <c r="P121" s="41" t="e">
        <f t="shared" si="79"/>
        <v>#DIV/0!</v>
      </c>
    </row>
    <row r="122" spans="2:22" x14ac:dyDescent="0.3">
      <c r="B122" s="5" t="s">
        <v>139</v>
      </c>
      <c r="C122" s="5" t="s">
        <v>139</v>
      </c>
      <c r="D122" s="13">
        <v>815.60400000000004</v>
      </c>
      <c r="E122" s="13">
        <v>749.34699999999998</v>
      </c>
      <c r="F122" s="13">
        <v>1428.8420000000001</v>
      </c>
      <c r="G122" s="13">
        <v>2313.67</v>
      </c>
      <c r="H122" s="30"/>
      <c r="I122" s="30"/>
      <c r="J122" s="30"/>
      <c r="K122" s="81"/>
      <c r="L122" s="81"/>
      <c r="M122" s="13">
        <f t="shared" ref="M122" si="80">+D122/M$68*1000</f>
        <v>2746.8813148322783</v>
      </c>
      <c r="N122" s="13">
        <f t="shared" ref="N122" si="81">+E122/N$68*1000</f>
        <v>2427.7424998380088</v>
      </c>
      <c r="O122" s="13">
        <f t="shared" ref="O122" si="82">+F122/O$68*1000</f>
        <v>4610.6550500161347</v>
      </c>
      <c r="P122" s="13" t="e">
        <f t="shared" ref="P122" si="83">+G122/P$68*1000</f>
        <v>#DIV/0!</v>
      </c>
    </row>
    <row r="125" spans="2:22" ht="15.6" x14ac:dyDescent="0.3">
      <c r="B125" s="44" t="s">
        <v>182</v>
      </c>
    </row>
    <row r="127" spans="2:22" ht="15" thickBot="1" x14ac:dyDescent="0.35">
      <c r="B127" s="8"/>
      <c r="C127" s="8"/>
      <c r="D127" s="45"/>
      <c r="E127" s="45"/>
      <c r="F127" s="45"/>
      <c r="G127" s="45"/>
      <c r="H127" s="45"/>
    </row>
    <row r="128" spans="2:22" x14ac:dyDescent="0.3">
      <c r="B128" s="46"/>
      <c r="C128" s="47" t="s">
        <v>183</v>
      </c>
      <c r="D128" s="48">
        <v>2013</v>
      </c>
      <c r="E128" s="48">
        <v>2014</v>
      </c>
      <c r="F128" s="48">
        <v>2015</v>
      </c>
      <c r="G128" s="48">
        <v>2016</v>
      </c>
      <c r="H128" s="48">
        <v>2017</v>
      </c>
      <c r="I128" s="48">
        <v>2018</v>
      </c>
      <c r="J128" s="48">
        <v>2019</v>
      </c>
      <c r="K128" s="48">
        <v>2020</v>
      </c>
      <c r="L128" s="48">
        <v>2021</v>
      </c>
      <c r="N128" s="48">
        <v>2013</v>
      </c>
      <c r="O128" s="48">
        <v>2014</v>
      </c>
      <c r="P128" s="48">
        <v>2015</v>
      </c>
      <c r="Q128" s="48">
        <v>2016</v>
      </c>
      <c r="R128" s="48">
        <v>2017</v>
      </c>
      <c r="S128" s="48">
        <v>2018</v>
      </c>
      <c r="T128" s="48">
        <v>2019</v>
      </c>
      <c r="U128" s="48">
        <v>2020</v>
      </c>
      <c r="V128" s="48">
        <v>2021</v>
      </c>
    </row>
    <row r="129" spans="2:23" x14ac:dyDescent="0.3">
      <c r="B129" s="49"/>
      <c r="C129" s="4" t="s">
        <v>2</v>
      </c>
      <c r="D129" s="3" t="s">
        <v>3</v>
      </c>
      <c r="E129" s="3" t="s">
        <v>3</v>
      </c>
      <c r="F129" s="3" t="s">
        <v>3</v>
      </c>
      <c r="G129" s="3" t="s">
        <v>3</v>
      </c>
      <c r="H129" s="3" t="s">
        <v>3</v>
      </c>
      <c r="I129" s="3" t="s">
        <v>3</v>
      </c>
      <c r="J129" s="3" t="s">
        <v>3</v>
      </c>
      <c r="K129" s="3" t="s">
        <v>3</v>
      </c>
      <c r="L129" s="3" t="s">
        <v>3</v>
      </c>
      <c r="N129" s="3" t="s">
        <v>3</v>
      </c>
      <c r="O129" s="3" t="s">
        <v>3</v>
      </c>
      <c r="P129" s="3" t="s">
        <v>3</v>
      </c>
      <c r="Q129" s="3" t="s">
        <v>3</v>
      </c>
      <c r="R129" s="3" t="s">
        <v>3</v>
      </c>
      <c r="S129" s="3" t="s">
        <v>3</v>
      </c>
      <c r="T129" s="3" t="s">
        <v>3</v>
      </c>
      <c r="U129" s="3" t="s">
        <v>3</v>
      </c>
      <c r="V129" s="3" t="s">
        <v>3</v>
      </c>
    </row>
    <row r="130" spans="2:23" x14ac:dyDescent="0.3">
      <c r="B130" s="50" t="s">
        <v>119</v>
      </c>
      <c r="C130" s="8" t="s">
        <v>120</v>
      </c>
      <c r="D130" s="9">
        <v>-29.751999999999999</v>
      </c>
      <c r="E130" s="9">
        <v>-288.58699999999999</v>
      </c>
      <c r="F130" s="9">
        <v>1307.9649999999999</v>
      </c>
      <c r="G130" s="9">
        <v>1027.6600000000001</v>
      </c>
      <c r="H130" s="9">
        <v>1032.83</v>
      </c>
      <c r="I130" s="9">
        <v>805.89300000000003</v>
      </c>
      <c r="J130" s="9">
        <v>709.46501699999817</v>
      </c>
      <c r="K130" s="9">
        <v>1474.201</v>
      </c>
      <c r="L130" s="9">
        <v>7072.268</v>
      </c>
      <c r="N130" s="9">
        <f t="shared" ref="N130:P133" si="84">IFERROR(D130/M$68*1000,0)</f>
        <v>-100.20207463289773</v>
      </c>
      <c r="O130" s="9">
        <f t="shared" si="84"/>
        <v>-934.96727791096987</v>
      </c>
      <c r="P130" s="9">
        <f t="shared" si="84"/>
        <v>4220.6034204582129</v>
      </c>
      <c r="Q130" s="9">
        <f>IFERROR(G130/Q$68*1000,0)</f>
        <v>3299.4927117446864</v>
      </c>
      <c r="R130" s="9">
        <f t="shared" ref="R130:V133" si="85">IFERROR(H130/R$68*1000,0)</f>
        <v>3239.0315802678206</v>
      </c>
      <c r="S130" s="9">
        <f t="shared" si="85"/>
        <v>2477.0032272936837</v>
      </c>
      <c r="T130" s="9">
        <f t="shared" si="85"/>
        <v>2020.2893669732553</v>
      </c>
      <c r="U130" s="9">
        <f t="shared" si="85"/>
        <v>4197.9696443318053</v>
      </c>
      <c r="V130" s="9">
        <f t="shared" si="85"/>
        <v>19726.285841794044</v>
      </c>
      <c r="W130" s="294"/>
    </row>
    <row r="131" spans="2:23" x14ac:dyDescent="0.3">
      <c r="B131" s="50" t="s">
        <v>184</v>
      </c>
      <c r="C131" s="8" t="s">
        <v>185</v>
      </c>
      <c r="D131" s="9">
        <v>362.46600000000001</v>
      </c>
      <c r="E131" s="9">
        <v>423.58600000000001</v>
      </c>
      <c r="F131" s="9">
        <v>372.15899999999999</v>
      </c>
      <c r="G131" s="9">
        <v>324.92700000000002</v>
      </c>
      <c r="H131" s="9">
        <v>322.21600000000001</v>
      </c>
      <c r="I131" s="9">
        <v>316.90499999999997</v>
      </c>
      <c r="J131" s="9">
        <v>736.66738499999997</v>
      </c>
      <c r="K131" s="9">
        <v>953.83900000000006</v>
      </c>
      <c r="L131" s="9">
        <v>971.97699999999998</v>
      </c>
      <c r="N131" s="9">
        <f t="shared" si="84"/>
        <v>1220.7530647985989</v>
      </c>
      <c r="O131" s="9">
        <f t="shared" si="84"/>
        <v>1372.3384954318667</v>
      </c>
      <c r="P131" s="9">
        <f t="shared" si="84"/>
        <v>1200.9002904162633</v>
      </c>
      <c r="Q131" s="9">
        <f>IFERROR(G131/Q$68*1000,0)</f>
        <v>1043.2382970525912</v>
      </c>
      <c r="R131" s="9">
        <f t="shared" si="85"/>
        <v>1010.4933044814502</v>
      </c>
      <c r="S131" s="9">
        <f t="shared" si="85"/>
        <v>974.0433379437527</v>
      </c>
      <c r="T131" s="9">
        <f t="shared" si="85"/>
        <v>2097.7514736452426</v>
      </c>
      <c r="U131" s="9">
        <f t="shared" si="85"/>
        <v>2716.1745023777657</v>
      </c>
      <c r="V131" s="9">
        <f t="shared" si="85"/>
        <v>2711.0816690840124</v>
      </c>
      <c r="W131" s="294"/>
    </row>
    <row r="132" spans="2:23" x14ac:dyDescent="0.3">
      <c r="B132" s="50" t="s">
        <v>186</v>
      </c>
      <c r="C132" s="8" t="s">
        <v>187</v>
      </c>
      <c r="D132" s="9">
        <v>420.16199999999998</v>
      </c>
      <c r="E132" s="9">
        <v>404.05799999999999</v>
      </c>
      <c r="F132" s="9">
        <v>627.36599999999999</v>
      </c>
      <c r="G132" s="9">
        <v>601.33199999999999</v>
      </c>
      <c r="H132" s="9">
        <v>571.66499999999996</v>
      </c>
      <c r="I132" s="9">
        <v>729.81799999999998</v>
      </c>
      <c r="J132" s="9">
        <v>2045.7517579999999</v>
      </c>
      <c r="K132" s="9">
        <v>2858.5230000000001</v>
      </c>
      <c r="L132" s="9">
        <v>3936.6689999999999</v>
      </c>
      <c r="N132" s="9">
        <f t="shared" si="84"/>
        <v>1415.0680317930755</v>
      </c>
      <c r="O132" s="9">
        <f t="shared" si="84"/>
        <v>1309.0714702261387</v>
      </c>
      <c r="P132" s="9">
        <f t="shared" si="84"/>
        <v>2024.4143272023236</v>
      </c>
      <c r="Q132" s="9">
        <f>IFERROR(G132/Q$68*1000,0)</f>
        <v>1930.6877287613179</v>
      </c>
      <c r="R132" s="9">
        <f t="shared" si="85"/>
        <v>1792.783893122589</v>
      </c>
      <c r="S132" s="9">
        <f t="shared" si="85"/>
        <v>2243.178115875211</v>
      </c>
      <c r="T132" s="9">
        <f t="shared" si="85"/>
        <v>5825.5311045932167</v>
      </c>
      <c r="U132" s="9">
        <f t="shared" si="85"/>
        <v>8139.9977219010734</v>
      </c>
      <c r="V132" s="9">
        <f t="shared" si="85"/>
        <v>10980.333035813901</v>
      </c>
      <c r="W132" s="294"/>
    </row>
    <row r="133" spans="2:23" x14ac:dyDescent="0.3">
      <c r="B133" s="50" t="s">
        <v>188</v>
      </c>
      <c r="C133" s="8" t="s">
        <v>189</v>
      </c>
      <c r="D133" s="9">
        <v>0</v>
      </c>
      <c r="E133" s="9">
        <v>0</v>
      </c>
      <c r="F133" s="9">
        <v>323.08199999999999</v>
      </c>
      <c r="G133" s="9">
        <v>228.953</v>
      </c>
      <c r="H133" s="9">
        <v>1.35</v>
      </c>
      <c r="I133" s="9">
        <v>32.522967000000001</v>
      </c>
      <c r="J133" s="9">
        <v>14.653</v>
      </c>
      <c r="K133" s="9">
        <v>599.77700000000004</v>
      </c>
      <c r="L133" s="9">
        <v>132.601</v>
      </c>
      <c r="N133" s="9">
        <f t="shared" si="84"/>
        <v>0</v>
      </c>
      <c r="O133" s="9">
        <f t="shared" si="84"/>
        <v>0</v>
      </c>
      <c r="P133" s="9">
        <f t="shared" si="84"/>
        <v>1042.5363020329139</v>
      </c>
      <c r="Q133" s="9">
        <f>IFERROR(G133/Q$68*1000,0)</f>
        <v>735.09599948629045</v>
      </c>
      <c r="R133" s="9">
        <f t="shared" si="85"/>
        <v>4.2337002540220148</v>
      </c>
      <c r="S133" s="9">
        <f t="shared" si="85"/>
        <v>99.963015214384512</v>
      </c>
      <c r="T133" s="9">
        <f t="shared" si="85"/>
        <v>41.726229461514365</v>
      </c>
      <c r="U133" s="9">
        <f t="shared" si="85"/>
        <v>1707.939174758664</v>
      </c>
      <c r="V133" s="9">
        <f t="shared" si="85"/>
        <v>369.85663282383132</v>
      </c>
      <c r="W133" s="294"/>
    </row>
    <row r="134" spans="2:23" x14ac:dyDescent="0.3">
      <c r="B134" s="50" t="s">
        <v>422</v>
      </c>
      <c r="C134" s="8"/>
      <c r="D134" s="9"/>
      <c r="E134" s="9"/>
      <c r="F134" s="9"/>
      <c r="G134" s="9"/>
      <c r="H134" s="9"/>
      <c r="I134" s="9"/>
      <c r="J134" s="9"/>
      <c r="K134" s="9">
        <v>89.051000000000002</v>
      </c>
      <c r="L134" s="9">
        <v>12.612</v>
      </c>
      <c r="N134" s="9">
        <f t="shared" ref="N134:N135" si="86">IFERROR(D134/M$68*1000,0)</f>
        <v>0</v>
      </c>
      <c r="O134" s="9">
        <f t="shared" ref="O134:O135" si="87">IFERROR(E134/N$68*1000,0)</f>
        <v>0</v>
      </c>
      <c r="P134" s="9">
        <f t="shared" ref="P134:P135" si="88">IFERROR(F134/O$68*1000,0)</f>
        <v>0</v>
      </c>
      <c r="Q134" s="9">
        <f t="shared" ref="Q134:Q135" si="89">IFERROR(G134/Q$68*1000,0)</f>
        <v>0</v>
      </c>
      <c r="R134" s="9">
        <f t="shared" ref="R134:R135" si="90">IFERROR(H134/R$68*1000,0)</f>
        <v>0</v>
      </c>
      <c r="S134" s="9">
        <f t="shared" ref="S134:S135" si="91">IFERROR(I134/S$68*1000,0)</f>
        <v>0</v>
      </c>
      <c r="T134" s="9">
        <f t="shared" ref="T134:T135" si="92">IFERROR(J134/T$68*1000,0)</f>
        <v>0</v>
      </c>
      <c r="U134" s="9">
        <f t="shared" ref="U134:U135" si="93">IFERROR(K134/U$68*1000,0)</f>
        <v>253.58373437366515</v>
      </c>
      <c r="V134" s="9">
        <f t="shared" ref="V134:V135" si="94">IFERROR(L134/V$68*1000,0)</f>
        <v>35.177953810108221</v>
      </c>
      <c r="W134" s="294"/>
    </row>
    <row r="135" spans="2:23" x14ac:dyDescent="0.3">
      <c r="B135" s="50" t="s">
        <v>340</v>
      </c>
      <c r="C135" s="8"/>
      <c r="D135" s="9"/>
      <c r="E135" s="9"/>
      <c r="F135" s="9"/>
      <c r="G135" s="9"/>
      <c r="H135" s="9"/>
      <c r="I135" s="9">
        <v>0.52900000000000003</v>
      </c>
      <c r="J135" s="9">
        <v>-79.375</v>
      </c>
      <c r="K135" s="9">
        <v>0</v>
      </c>
      <c r="L135" s="9">
        <v>0</v>
      </c>
      <c r="N135" s="9">
        <f t="shared" si="86"/>
        <v>0</v>
      </c>
      <c r="O135" s="9">
        <f t="shared" si="87"/>
        <v>0</v>
      </c>
      <c r="P135" s="9">
        <f t="shared" si="88"/>
        <v>0</v>
      </c>
      <c r="Q135" s="9">
        <f t="shared" si="89"/>
        <v>0</v>
      </c>
      <c r="R135" s="9">
        <f t="shared" si="90"/>
        <v>0</v>
      </c>
      <c r="S135" s="9">
        <f t="shared" si="91"/>
        <v>1.6259412939910867</v>
      </c>
      <c r="T135" s="9">
        <f t="shared" si="92"/>
        <v>-226.03012785830222</v>
      </c>
      <c r="U135" s="9">
        <f t="shared" si="93"/>
        <v>0</v>
      </c>
      <c r="V135" s="9">
        <f t="shared" si="94"/>
        <v>0</v>
      </c>
      <c r="W135" s="294"/>
    </row>
    <row r="136" spans="2:23" x14ac:dyDescent="0.3">
      <c r="B136" s="50" t="s">
        <v>190</v>
      </c>
      <c r="C136" s="8" t="s">
        <v>72</v>
      </c>
      <c r="D136" s="9">
        <v>0</v>
      </c>
      <c r="E136" s="9">
        <v>0</v>
      </c>
      <c r="F136" s="9">
        <v>-88.921999999999997</v>
      </c>
      <c r="G136" s="9">
        <v>-79.165000000000006</v>
      </c>
      <c r="H136" s="9">
        <v>-225.58699999999999</v>
      </c>
      <c r="I136" s="9">
        <v>-86.629000000000005</v>
      </c>
      <c r="J136" s="9">
        <v>0</v>
      </c>
      <c r="K136" s="9">
        <v>37</v>
      </c>
      <c r="L136" s="9">
        <v>93.643000000000001</v>
      </c>
      <c r="N136" s="9">
        <f t="shared" ref="N136:P139" si="95">IFERROR(D136/M$68*1000,0)</f>
        <v>0</v>
      </c>
      <c r="O136" s="9">
        <f t="shared" si="95"/>
        <v>0</v>
      </c>
      <c r="P136" s="9">
        <f t="shared" si="95"/>
        <v>-286.9377218457567</v>
      </c>
      <c r="Q136" s="9">
        <f>IFERROR(G136/Q$68*1000,0)</f>
        <v>-254.17389070827718</v>
      </c>
      <c r="R136" s="9">
        <f t="shared" ref="R136:V139" si="96">IFERROR(H136/R$68*1000,0)</f>
        <v>-707.45758459560318</v>
      </c>
      <c r="S136" s="9">
        <f t="shared" si="96"/>
        <v>-266.26402335945903</v>
      </c>
      <c r="T136" s="9">
        <f t="shared" si="96"/>
        <v>0</v>
      </c>
      <c r="U136" s="9">
        <f t="shared" si="96"/>
        <v>105.36207534812199</v>
      </c>
      <c r="V136" s="9">
        <f t="shared" si="96"/>
        <v>261.19323887091377</v>
      </c>
      <c r="W136" s="294"/>
    </row>
    <row r="137" spans="2:23" x14ac:dyDescent="0.3">
      <c r="B137" s="50" t="s">
        <v>191</v>
      </c>
      <c r="C137" s="8" t="s">
        <v>192</v>
      </c>
      <c r="D137" s="9">
        <v>3.6030000000000002</v>
      </c>
      <c r="E137" s="9">
        <v>3.5419999999999998</v>
      </c>
      <c r="F137" s="9">
        <v>8.9920000000000009</v>
      </c>
      <c r="G137" s="9">
        <v>9.2469999999999999</v>
      </c>
      <c r="H137" s="9" t="s">
        <v>12</v>
      </c>
      <c r="I137" s="9">
        <v>12.278180000000001</v>
      </c>
      <c r="J137" s="9">
        <v>316.94099999999997</v>
      </c>
      <c r="K137" s="9">
        <v>-3.4700000000157158E-4</v>
      </c>
      <c r="L137" s="9">
        <v>-54.18</v>
      </c>
      <c r="N137" s="9">
        <f t="shared" si="95"/>
        <v>12.134581705509902</v>
      </c>
      <c r="O137" s="9">
        <f t="shared" si="95"/>
        <v>11.475409836065571</v>
      </c>
      <c r="P137" s="9">
        <f t="shared" si="95"/>
        <v>29.01581155211359</v>
      </c>
      <c r="Q137" s="9">
        <f>IFERROR(G137/Q$68*1000,0)</f>
        <v>29.689205676491365</v>
      </c>
      <c r="R137" s="9">
        <f t="shared" si="96"/>
        <v>0</v>
      </c>
      <c r="S137" s="9">
        <f t="shared" si="96"/>
        <v>37.738374058706007</v>
      </c>
      <c r="T137" s="9">
        <f t="shared" si="96"/>
        <v>902.52868980835478</v>
      </c>
      <c r="U137" s="9">
        <f t="shared" si="96"/>
        <v>-9.8812540935037615E-4</v>
      </c>
      <c r="V137" s="9">
        <f t="shared" si="96"/>
        <v>-151.12127635836217</v>
      </c>
      <c r="W137" s="294"/>
    </row>
    <row r="138" spans="2:23" x14ac:dyDescent="0.3">
      <c r="B138" s="50" t="s">
        <v>193</v>
      </c>
      <c r="C138" s="8" t="s">
        <v>194</v>
      </c>
      <c r="D138" s="9">
        <v>-0.46899999999999997</v>
      </c>
      <c r="E138" s="9">
        <v>-6.0270000000000001</v>
      </c>
      <c r="F138" s="9">
        <v>283.63900000000001</v>
      </c>
      <c r="G138" s="9">
        <v>-68.084000000000003</v>
      </c>
      <c r="H138" s="9">
        <v>-140.096</v>
      </c>
      <c r="I138" s="9">
        <v>-79.989666999999997</v>
      </c>
      <c r="J138" s="9">
        <v>394.42599999999999</v>
      </c>
      <c r="K138" s="9">
        <v>-98.81</v>
      </c>
      <c r="L138" s="9">
        <v>157.001</v>
      </c>
      <c r="N138" s="9">
        <f t="shared" si="95"/>
        <v>-1.5795500471507475</v>
      </c>
      <c r="O138" s="9">
        <f t="shared" si="95"/>
        <v>-19.526339661763753</v>
      </c>
      <c r="P138" s="9">
        <f t="shared" si="95"/>
        <v>915.25976121329461</v>
      </c>
      <c r="Q138" s="9">
        <f>IFERROR(G138/Q$68*1000,0)</f>
        <v>-218.59628844795481</v>
      </c>
      <c r="R138" s="9">
        <f t="shared" si="96"/>
        <v>-439.35145984256906</v>
      </c>
      <c r="S138" s="9">
        <f t="shared" si="96"/>
        <v>-245.85728292607959</v>
      </c>
      <c r="T138" s="9">
        <f t="shared" si="96"/>
        <v>1123.1768089529287</v>
      </c>
      <c r="U138" s="9">
        <f t="shared" si="96"/>
        <v>-281.37369365264686</v>
      </c>
      <c r="V138" s="9">
        <f t="shared" si="96"/>
        <v>437.91420283387259</v>
      </c>
      <c r="W138" s="294"/>
    </row>
    <row r="139" spans="2:23" x14ac:dyDescent="0.3">
      <c r="B139" s="50" t="s">
        <v>195</v>
      </c>
      <c r="C139" s="10" t="s">
        <v>196</v>
      </c>
      <c r="D139" s="9">
        <v>73.94</v>
      </c>
      <c r="E139" s="9">
        <v>122.88</v>
      </c>
      <c r="F139" s="9">
        <v>-1.514</v>
      </c>
      <c r="G139" s="9">
        <v>-51.652000000000001</v>
      </c>
      <c r="H139" s="9">
        <v>-472.89299999999997</v>
      </c>
      <c r="I139" s="9">
        <v>-6.2274139999999996</v>
      </c>
      <c r="J139" s="9"/>
      <c r="K139" s="9">
        <v>0</v>
      </c>
      <c r="L139" s="9">
        <v>0</v>
      </c>
      <c r="N139" s="9">
        <f t="shared" si="95"/>
        <v>249.02330594099419</v>
      </c>
      <c r="O139" s="9">
        <f t="shared" si="95"/>
        <v>398.10795049569106</v>
      </c>
      <c r="P139" s="9">
        <f t="shared" si="95"/>
        <v>-4.8854469183607625</v>
      </c>
      <c r="Q139" s="9">
        <f>IFERROR(G139/Q$68*1000,0)</f>
        <v>-165.83830989533169</v>
      </c>
      <c r="R139" s="9">
        <f t="shared" si="96"/>
        <v>-1483.027566092765</v>
      </c>
      <c r="S139" s="9">
        <f t="shared" si="96"/>
        <v>-19.140660826801902</v>
      </c>
      <c r="T139" s="9">
        <f t="shared" si="96"/>
        <v>0</v>
      </c>
      <c r="U139" s="9">
        <f t="shared" si="96"/>
        <v>0</v>
      </c>
      <c r="V139" s="9">
        <f t="shared" si="96"/>
        <v>0</v>
      </c>
      <c r="W139" s="294"/>
    </row>
    <row r="140" spans="2:23" x14ac:dyDescent="0.3">
      <c r="B140" s="50" t="s">
        <v>423</v>
      </c>
      <c r="C140" s="10" t="s">
        <v>424</v>
      </c>
      <c r="D140" s="9"/>
      <c r="E140" s="9"/>
      <c r="F140" s="9"/>
      <c r="G140" s="9"/>
      <c r="H140" s="9"/>
      <c r="I140" s="9"/>
      <c r="J140" s="9">
        <v>-1415.65</v>
      </c>
      <c r="K140" s="9">
        <v>2277.4630000000002</v>
      </c>
      <c r="L140" s="9">
        <v>4682.76</v>
      </c>
      <c r="N140" s="9"/>
      <c r="O140" s="9"/>
      <c r="P140" s="9"/>
      <c r="Q140" s="9"/>
      <c r="R140" s="9"/>
      <c r="S140" s="9">
        <f t="shared" ref="S140" si="97">IFERROR(I140/S$68*1000,0)</f>
        <v>0</v>
      </c>
      <c r="T140" s="9">
        <f t="shared" ref="T140" si="98">IFERROR(J140/T$68*1000,0)</f>
        <v>-4031.2384315288891</v>
      </c>
      <c r="U140" s="9">
        <f t="shared" ref="U140" si="99">IFERROR(K140/U$68*1000,0)</f>
        <v>6485.3575191502687</v>
      </c>
      <c r="V140" s="9">
        <f t="shared" ref="V140" si="100">IFERROR(L140/V$68*1000,0)</f>
        <v>13061.36338279594</v>
      </c>
      <c r="W140" s="294"/>
    </row>
    <row r="141" spans="2:23" x14ac:dyDescent="0.3">
      <c r="B141" s="50" t="s">
        <v>197</v>
      </c>
      <c r="C141" s="8" t="s">
        <v>118</v>
      </c>
      <c r="D141" s="9">
        <v>0</v>
      </c>
      <c r="E141" s="9">
        <v>0</v>
      </c>
      <c r="F141" s="9">
        <v>-1464.2719999999999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N141" s="9">
        <f t="shared" ref="N141:P142" si="101">IFERROR(D141/M$68*1000,0)</f>
        <v>0</v>
      </c>
      <c r="O141" s="9">
        <f t="shared" si="101"/>
        <v>0</v>
      </c>
      <c r="P141" s="9">
        <f t="shared" si="101"/>
        <v>-4724.982252339465</v>
      </c>
      <c r="Q141" s="9">
        <f>IFERROR(G141/Q$68*1000,0)</f>
        <v>0</v>
      </c>
      <c r="R141" s="9">
        <f t="shared" ref="R141:V145" si="102">IFERROR(H141/R$68*1000,0)</f>
        <v>0</v>
      </c>
      <c r="S141" s="9">
        <f t="shared" si="102"/>
        <v>0</v>
      </c>
      <c r="T141" s="9">
        <f t="shared" si="102"/>
        <v>0</v>
      </c>
      <c r="U141" s="9">
        <f t="shared" si="102"/>
        <v>0</v>
      </c>
      <c r="V141" s="9">
        <f t="shared" si="102"/>
        <v>0</v>
      </c>
      <c r="W141" s="294"/>
    </row>
    <row r="142" spans="2:23" x14ac:dyDescent="0.3">
      <c r="B142" s="50" t="s">
        <v>198</v>
      </c>
      <c r="C142" s="8" t="s">
        <v>306</v>
      </c>
      <c r="D142" s="9">
        <v>0</v>
      </c>
      <c r="E142" s="9">
        <v>0</v>
      </c>
      <c r="F142" s="9">
        <v>0</v>
      </c>
      <c r="G142" s="9">
        <v>42.295999999999999</v>
      </c>
      <c r="H142" s="9">
        <v>41.444000000000003</v>
      </c>
      <c r="I142" s="9">
        <v>8.9499999999999993</v>
      </c>
      <c r="J142" s="9">
        <v>1.65</v>
      </c>
      <c r="K142" s="9">
        <v>101.292</v>
      </c>
      <c r="L142" s="9">
        <v>261.27499999999998</v>
      </c>
      <c r="N142" s="9">
        <f t="shared" si="101"/>
        <v>0</v>
      </c>
      <c r="O142" s="9">
        <f t="shared" si="101"/>
        <v>0</v>
      </c>
      <c r="P142" s="9">
        <f t="shared" si="101"/>
        <v>0</v>
      </c>
      <c r="Q142" s="9">
        <f>IFERROR(G142/Q$68*1000,0)</f>
        <v>135.79913953637706</v>
      </c>
      <c r="R142" s="9">
        <f t="shared" si="102"/>
        <v>129.97146172421364</v>
      </c>
      <c r="S142" s="9">
        <f t="shared" si="102"/>
        <v>27.508836637467336</v>
      </c>
      <c r="T142" s="9">
        <f t="shared" si="102"/>
        <v>4.6985790357946291</v>
      </c>
      <c r="U142" s="9">
        <f t="shared" si="102"/>
        <v>288.44149557194521</v>
      </c>
      <c r="V142" s="9">
        <f t="shared" si="102"/>
        <v>728.75990181858754</v>
      </c>
      <c r="W142" s="294"/>
    </row>
    <row r="143" spans="2:23" x14ac:dyDescent="0.3">
      <c r="B143" s="50" t="s">
        <v>341</v>
      </c>
      <c r="C143" s="8" t="s">
        <v>419</v>
      </c>
      <c r="D143" s="9"/>
      <c r="E143" s="9"/>
      <c r="F143" s="9"/>
      <c r="G143" s="9"/>
      <c r="H143" s="9"/>
      <c r="I143" s="9">
        <v>46.853999999999999</v>
      </c>
      <c r="J143" s="9">
        <v>175.07300000000001</v>
      </c>
      <c r="K143" s="9">
        <v>191.78611541481135</v>
      </c>
      <c r="L143" s="9">
        <v>197.35599999999999</v>
      </c>
      <c r="N143" s="9"/>
      <c r="O143" s="9"/>
      <c r="P143" s="9"/>
      <c r="Q143" s="9"/>
      <c r="R143" s="9">
        <f t="shared" ref="R143:R145" si="103">IFERROR(H143/R$68*1000,0)</f>
        <v>0</v>
      </c>
      <c r="S143" s="9">
        <f t="shared" ref="S143:S145" si="104">IFERROR(I143/S$68*1000,0)</f>
        <v>144.01106500691563</v>
      </c>
      <c r="T143" s="9">
        <f t="shared" ref="T143:T145" si="105">IFERROR(J143/T$68*1000,0)</f>
        <v>498.54201668707464</v>
      </c>
      <c r="U143" s="9">
        <f t="shared" ref="U143:U145" si="106">IFERROR(K143/U$68*1000,0)</f>
        <v>546.13467954213445</v>
      </c>
      <c r="V143" s="9">
        <f t="shared" si="102"/>
        <v>550.47417159433235</v>
      </c>
      <c r="W143" s="294"/>
    </row>
    <row r="144" spans="2:23" x14ac:dyDescent="0.3">
      <c r="B144" s="50" t="s">
        <v>216</v>
      </c>
      <c r="C144" s="8" t="s">
        <v>420</v>
      </c>
      <c r="D144" s="9"/>
      <c r="E144" s="9"/>
      <c r="F144" s="9"/>
      <c r="G144" s="9"/>
      <c r="H144" s="9"/>
      <c r="I144" s="9"/>
      <c r="J144" s="9"/>
      <c r="K144" s="9"/>
      <c r="L144" s="9"/>
      <c r="N144" s="9"/>
      <c r="O144" s="9"/>
      <c r="P144" s="9"/>
      <c r="Q144" s="9"/>
      <c r="R144" s="9">
        <f t="shared" si="103"/>
        <v>0</v>
      </c>
      <c r="S144" s="9">
        <f t="shared" si="104"/>
        <v>0</v>
      </c>
      <c r="T144" s="9">
        <f t="shared" si="105"/>
        <v>0</v>
      </c>
      <c r="U144" s="9">
        <f t="shared" si="106"/>
        <v>0</v>
      </c>
      <c r="V144" s="9">
        <f t="shared" si="102"/>
        <v>0</v>
      </c>
      <c r="W144" s="294"/>
    </row>
    <row r="145" spans="2:23" x14ac:dyDescent="0.3">
      <c r="B145" s="50" t="s">
        <v>220</v>
      </c>
      <c r="C145" s="8" t="s">
        <v>421</v>
      </c>
      <c r="D145" s="9"/>
      <c r="E145" s="9"/>
      <c r="F145" s="9"/>
      <c r="G145" s="9"/>
      <c r="H145" s="9"/>
      <c r="I145" s="9">
        <v>-228.96025</v>
      </c>
      <c r="J145" s="9">
        <v>-435.83447100000001</v>
      </c>
      <c r="K145" s="9">
        <v>-883.66</v>
      </c>
      <c r="L145" s="9">
        <v>-1214.818</v>
      </c>
      <c r="N145" s="9"/>
      <c r="O145" s="9"/>
      <c r="P145" s="9"/>
      <c r="Q145" s="9"/>
      <c r="R145" s="9">
        <f t="shared" si="103"/>
        <v>0</v>
      </c>
      <c r="S145" s="9">
        <f t="shared" si="104"/>
        <v>-703.7352082372829</v>
      </c>
      <c r="T145" s="9">
        <f t="shared" si="105"/>
        <v>-1241.0925506165104</v>
      </c>
      <c r="U145" s="9">
        <f t="shared" si="106"/>
        <v>-2516.3311216789584</v>
      </c>
      <c r="V145" s="9">
        <f t="shared" si="102"/>
        <v>-3388.4246346089481</v>
      </c>
      <c r="W145" s="294"/>
    </row>
    <row r="146" spans="2:23" x14ac:dyDescent="0.3">
      <c r="B146" s="52"/>
      <c r="C146" s="6"/>
      <c r="D146" s="13">
        <f t="shared" ref="D146:K146" si="107">SUM(D130:D145)</f>
        <v>829.94999999999982</v>
      </c>
      <c r="E146" s="13">
        <f t="shared" si="107"/>
        <v>659.452</v>
      </c>
      <c r="F146" s="13">
        <f t="shared" si="107"/>
        <v>1368.4949999999999</v>
      </c>
      <c r="G146" s="13">
        <f t="shared" si="107"/>
        <v>2035.5139999999997</v>
      </c>
      <c r="H146" s="13">
        <f t="shared" si="107"/>
        <v>1130.9289999999996</v>
      </c>
      <c r="I146" s="13">
        <f t="shared" si="107"/>
        <v>1551.9438160000002</v>
      </c>
      <c r="J146" s="13">
        <f t="shared" si="107"/>
        <v>2463.7676889999971</v>
      </c>
      <c r="K146" s="13">
        <f t="shared" si="107"/>
        <v>7600.4617684148125</v>
      </c>
      <c r="L146" s="13">
        <f t="shared" ref="L146" si="108">SUM(L130:L145)</f>
        <v>16249.164000000004</v>
      </c>
      <c r="N146" s="13">
        <f>SUM(N130:N145)</f>
        <v>2795.1973595581298</v>
      </c>
      <c r="O146" s="13">
        <f t="shared" ref="O146:Q146" si="109">SUM(O130:O145)</f>
        <v>2136.4997084170282</v>
      </c>
      <c r="P146" s="13">
        <f t="shared" si="109"/>
        <v>4415.9244917715387</v>
      </c>
      <c r="Q146" s="13">
        <f t="shared" si="109"/>
        <v>6535.3945932061897</v>
      </c>
      <c r="R146" s="13">
        <f t="shared" ref="R146:V146" si="110">SUM(R130:R145)</f>
        <v>3546.6773293191577</v>
      </c>
      <c r="S146" s="13">
        <f t="shared" si="110"/>
        <v>4770.0747379744889</v>
      </c>
      <c r="T146" s="13">
        <f t="shared" si="110"/>
        <v>7015.8831591536791</v>
      </c>
      <c r="U146" s="13">
        <f t="shared" si="110"/>
        <v>21643.254743898426</v>
      </c>
      <c r="V146" s="13">
        <f t="shared" si="110"/>
        <v>45322.894120272234</v>
      </c>
      <c r="W146" s="294"/>
    </row>
    <row r="147" spans="2:23" x14ac:dyDescent="0.3">
      <c r="B147" s="51" t="s">
        <v>199</v>
      </c>
      <c r="C147" s="19" t="s">
        <v>200</v>
      </c>
      <c r="D147" s="53"/>
      <c r="E147" s="53"/>
      <c r="F147" s="53"/>
      <c r="G147" s="53"/>
      <c r="H147" s="53"/>
      <c r="I147" s="53"/>
      <c r="J147" s="53"/>
      <c r="K147" s="53"/>
      <c r="L147" s="53"/>
      <c r="N147" s="53"/>
      <c r="O147" s="53"/>
      <c r="P147" s="53"/>
      <c r="Q147" s="53"/>
      <c r="R147" s="53"/>
      <c r="S147" s="53"/>
      <c r="T147" s="53"/>
      <c r="U147" s="53"/>
      <c r="V147" s="53"/>
      <c r="W147" s="294"/>
    </row>
    <row r="148" spans="2:23" x14ac:dyDescent="0.3">
      <c r="B148" s="50" t="s">
        <v>201</v>
      </c>
      <c r="C148" s="8" t="s">
        <v>202</v>
      </c>
      <c r="D148" s="9">
        <v>-6.3520000000000003</v>
      </c>
      <c r="E148" s="9">
        <v>-1.615</v>
      </c>
      <c r="F148" s="9">
        <v>-15.679</v>
      </c>
      <c r="G148" s="9">
        <v>43.274999999999999</v>
      </c>
      <c r="H148" s="9">
        <v>-248.04900000000001</v>
      </c>
      <c r="I148" s="9">
        <v>90.127325999999996</v>
      </c>
      <c r="J148" s="9">
        <v>-20.021000000000001</v>
      </c>
      <c r="K148" s="9">
        <v>-230.21799999999999</v>
      </c>
      <c r="L148" s="9">
        <v>-634.15700000000004</v>
      </c>
      <c r="N148" s="9">
        <f t="shared" ref="N148:P155" si="111">IFERROR(D148/M$68*1000,0)</f>
        <v>-21.392967802775157</v>
      </c>
      <c r="O148" s="9">
        <f t="shared" si="111"/>
        <v>-5.2322944340050537</v>
      </c>
      <c r="P148" s="9">
        <f t="shared" si="111"/>
        <v>-50.593739916101974</v>
      </c>
      <c r="Q148" s="9">
        <f>IFERROR(G148/Q$68*1000,0)</f>
        <v>138.94240030822579</v>
      </c>
      <c r="R148" s="9">
        <f t="shared" ref="R148:V155" si="112">IFERROR(H148/R$68*1000,0)</f>
        <v>-777.90008467400503</v>
      </c>
      <c r="S148" s="9">
        <f t="shared" si="112"/>
        <v>277.01652374366063</v>
      </c>
      <c r="T148" s="9">
        <f t="shared" si="112"/>
        <v>-57.012273257966228</v>
      </c>
      <c r="U148" s="9">
        <f t="shared" si="112"/>
        <v>-655.5742233106472</v>
      </c>
      <c r="V148" s="9">
        <f t="shared" si="112"/>
        <v>-1768.8190338056456</v>
      </c>
      <c r="W148" s="294"/>
    </row>
    <row r="149" spans="2:23" x14ac:dyDescent="0.3">
      <c r="B149" s="50" t="s">
        <v>472</v>
      </c>
      <c r="C149" s="8" t="s">
        <v>473</v>
      </c>
      <c r="D149" s="9"/>
      <c r="E149" s="9"/>
      <c r="F149" s="9"/>
      <c r="G149" s="9"/>
      <c r="H149" s="9"/>
      <c r="I149" s="9"/>
      <c r="J149" s="9"/>
      <c r="K149" s="9">
        <v>-501.38799999999998</v>
      </c>
      <c r="L149" s="9">
        <v>-1552.037</v>
      </c>
      <c r="N149" s="9"/>
      <c r="O149" s="9"/>
      <c r="P149" s="9"/>
      <c r="Q149" s="9"/>
      <c r="R149" s="9"/>
      <c r="S149" s="9"/>
      <c r="T149" s="9"/>
      <c r="U149" s="9"/>
      <c r="V149" s="9"/>
      <c r="W149" s="294"/>
    </row>
    <row r="150" spans="2:23" x14ac:dyDescent="0.3">
      <c r="B150" s="50" t="s">
        <v>203</v>
      </c>
      <c r="C150" s="8" t="s">
        <v>204</v>
      </c>
      <c r="D150" s="9">
        <v>106.62</v>
      </c>
      <c r="E150" s="9">
        <v>-15.68</v>
      </c>
      <c r="F150" s="9">
        <v>-492.33699999999999</v>
      </c>
      <c r="G150" s="9">
        <v>-561.93299999999999</v>
      </c>
      <c r="H150" s="9">
        <v>-834.99400000000003</v>
      </c>
      <c r="I150" s="9">
        <v>-74.863758000000004</v>
      </c>
      <c r="J150" s="9">
        <v>-2268.3820000000001</v>
      </c>
      <c r="K150" s="9">
        <v>-94.582999999999998</v>
      </c>
      <c r="L150" s="9">
        <v>-6597.4589999999998</v>
      </c>
      <c r="N150" s="9">
        <f t="shared" si="111"/>
        <v>359.08662265930218</v>
      </c>
      <c r="O150" s="9">
        <f t="shared" si="111"/>
        <v>-50.800233266377241</v>
      </c>
      <c r="P150" s="9">
        <f t="shared" si="111"/>
        <v>-1588.6963536624719</v>
      </c>
      <c r="Q150" s="9">
        <f>IFERROR(G150/Q$68*1000,0)</f>
        <v>-1804.1899441340784</v>
      </c>
      <c r="R150" s="9">
        <f t="shared" si="112"/>
        <v>-2618.6031925235989</v>
      </c>
      <c r="S150" s="9">
        <f t="shared" si="112"/>
        <v>-230.1022222222222</v>
      </c>
      <c r="T150" s="9">
        <f t="shared" si="112"/>
        <v>-6459.4982487114503</v>
      </c>
      <c r="U150" s="9">
        <f t="shared" si="112"/>
        <v>-269.33678845003845</v>
      </c>
      <c r="V150" s="9">
        <f t="shared" si="112"/>
        <v>-18401.927368068726</v>
      </c>
      <c r="W150" s="294"/>
    </row>
    <row r="151" spans="2:23" x14ac:dyDescent="0.3">
      <c r="B151" s="50" t="s">
        <v>205</v>
      </c>
      <c r="C151" s="8" t="s">
        <v>206</v>
      </c>
      <c r="D151" s="9">
        <v>157.88999999999999</v>
      </c>
      <c r="E151" s="9">
        <v>-122.932</v>
      </c>
      <c r="F151" s="9">
        <v>-100.039</v>
      </c>
      <c r="G151" s="9">
        <v>197.66200000000001</v>
      </c>
      <c r="H151" s="9">
        <v>676.21600000000001</v>
      </c>
      <c r="I151" s="9">
        <v>-159.375</v>
      </c>
      <c r="J151" s="9">
        <v>0</v>
      </c>
      <c r="K151" s="9">
        <v>-1336.175</v>
      </c>
      <c r="L151" s="9">
        <v>-6831.1540000000005</v>
      </c>
      <c r="N151" s="9">
        <f t="shared" si="111"/>
        <v>531.75939647042969</v>
      </c>
      <c r="O151" s="9">
        <f t="shared" si="111"/>
        <v>-398.27642065703361</v>
      </c>
      <c r="P151" s="9">
        <f t="shared" si="111"/>
        <v>-322.81058405937404</v>
      </c>
      <c r="Q151" s="9">
        <f>IFERROR(G151/Q$68*1000,0)</f>
        <v>634.63045013805947</v>
      </c>
      <c r="R151" s="9">
        <f t="shared" si="112"/>
        <v>2120.6635933138896</v>
      </c>
      <c r="S151" s="9">
        <f t="shared" si="112"/>
        <v>-489.85707699400643</v>
      </c>
      <c r="T151" s="9">
        <f t="shared" si="112"/>
        <v>0</v>
      </c>
      <c r="U151" s="9">
        <f t="shared" si="112"/>
        <v>-3804.9235413047809</v>
      </c>
      <c r="V151" s="9">
        <f t="shared" si="112"/>
        <v>-19053.75990181859</v>
      </c>
      <c r="W151" s="294"/>
    </row>
    <row r="152" spans="2:23" x14ac:dyDescent="0.3">
      <c r="B152" s="50" t="s">
        <v>207</v>
      </c>
      <c r="C152" s="8" t="s">
        <v>208</v>
      </c>
      <c r="D152" s="9">
        <v>-228.40799999999999</v>
      </c>
      <c r="E152" s="9">
        <v>80.277000000000001</v>
      </c>
      <c r="F152" s="9">
        <v>540.96299999999997</v>
      </c>
      <c r="G152" s="9">
        <v>494.005</v>
      </c>
      <c r="H152" s="9">
        <v>-275.69400000000002</v>
      </c>
      <c r="I152" s="9">
        <v>-3.689937</v>
      </c>
      <c r="J152" s="9">
        <v>158.797</v>
      </c>
      <c r="K152" s="9">
        <v>347.87521800000002</v>
      </c>
      <c r="L152" s="9">
        <v>6784.1779999999999</v>
      </c>
      <c r="M152" s="9"/>
      <c r="N152" s="9">
        <f t="shared" si="111"/>
        <v>-769.2577125151555</v>
      </c>
      <c r="O152" s="9">
        <f t="shared" si="111"/>
        <v>260.08229119419423</v>
      </c>
      <c r="P152" s="9">
        <f t="shared" si="111"/>
        <v>1745.6050338818973</v>
      </c>
      <c r="Q152" s="9">
        <f>IFERROR(G152/Q$68*1000,0)</f>
        <v>1586.0945225711166</v>
      </c>
      <c r="R152" s="9">
        <f t="shared" si="112"/>
        <v>-864.59685765358927</v>
      </c>
      <c r="S152" s="9">
        <f t="shared" si="112"/>
        <v>-11.34143845089903</v>
      </c>
      <c r="T152" s="9">
        <f t="shared" si="112"/>
        <v>452.19409402853319</v>
      </c>
      <c r="U152" s="9">
        <f t="shared" si="112"/>
        <v>990.61770082865849</v>
      </c>
      <c r="V152" s="9">
        <f t="shared" si="112"/>
        <v>18922.732344081222</v>
      </c>
      <c r="W152" s="294"/>
    </row>
    <row r="153" spans="2:23" x14ac:dyDescent="0.3">
      <c r="B153" s="50" t="s">
        <v>209</v>
      </c>
      <c r="C153" s="8" t="s">
        <v>210</v>
      </c>
      <c r="D153" s="9">
        <v>0.4</v>
      </c>
      <c r="E153" s="9">
        <v>-0.4</v>
      </c>
      <c r="F153" s="9">
        <v>102.04600000000001</v>
      </c>
      <c r="G153" s="9">
        <v>-19.434999999999999</v>
      </c>
      <c r="H153" s="9">
        <v>264.399</v>
      </c>
      <c r="I153" s="9">
        <v>2234.4561630000003</v>
      </c>
      <c r="J153" s="9">
        <v>554.41399999999999</v>
      </c>
      <c r="K153" s="9"/>
      <c r="L153" s="9"/>
      <c r="N153" s="9">
        <f t="shared" si="111"/>
        <v>1.3471642193183349</v>
      </c>
      <c r="O153" s="9">
        <f t="shared" si="111"/>
        <v>-1.2959243180198277</v>
      </c>
      <c r="P153" s="9">
        <f t="shared" si="111"/>
        <v>329.28686673120365</v>
      </c>
      <c r="Q153" s="9">
        <f>IFERROR(G153/Q$68*1000,0)</f>
        <v>-62.399666088743338</v>
      </c>
      <c r="R153" s="9">
        <f t="shared" si="112"/>
        <v>829.17489886160502</v>
      </c>
      <c r="S153" s="9">
        <f t="shared" si="112"/>
        <v>6867.8535822959893</v>
      </c>
      <c r="T153" s="9">
        <f t="shared" si="112"/>
        <v>1578.7624227582082</v>
      </c>
      <c r="U153" s="9">
        <f t="shared" si="112"/>
        <v>0</v>
      </c>
      <c r="V153" s="9">
        <f t="shared" si="112"/>
        <v>0</v>
      </c>
      <c r="W153" s="294"/>
    </row>
    <row r="154" spans="2:23" x14ac:dyDescent="0.3">
      <c r="B154" s="50" t="s">
        <v>211</v>
      </c>
      <c r="C154" s="8" t="s">
        <v>212</v>
      </c>
      <c r="D154" s="9">
        <v>32.682000000000002</v>
      </c>
      <c r="E154" s="9">
        <v>82.085999999999999</v>
      </c>
      <c r="F154" s="9">
        <v>-371.80799999999999</v>
      </c>
      <c r="G154" s="9">
        <v>106.75</v>
      </c>
      <c r="H154" s="9">
        <v>532.851</v>
      </c>
      <c r="I154" s="9">
        <v>-274.87127700000002</v>
      </c>
      <c r="J154" s="9">
        <v>133.233</v>
      </c>
      <c r="K154" s="9">
        <v>-451.46300000000002</v>
      </c>
      <c r="L154" s="9">
        <v>-37.511000000000003</v>
      </c>
      <c r="N154" s="9">
        <f t="shared" si="111"/>
        <v>110.07005253940456</v>
      </c>
      <c r="O154" s="9">
        <f t="shared" si="111"/>
        <v>265.94310892243891</v>
      </c>
      <c r="P154" s="9">
        <f t="shared" si="111"/>
        <v>-1199.7676669893515</v>
      </c>
      <c r="Q154" s="9">
        <f>IFERROR(G154/Q$68*1000,0)</f>
        <v>342.74064085275802</v>
      </c>
      <c r="R154" s="9">
        <f t="shared" si="112"/>
        <v>1671.0603067080626</v>
      </c>
      <c r="S154" s="9">
        <f t="shared" si="112"/>
        <v>-844.84793914246188</v>
      </c>
      <c r="T154" s="9">
        <f t="shared" si="112"/>
        <v>379.39744283395504</v>
      </c>
      <c r="U154" s="9">
        <f t="shared" si="112"/>
        <v>-1285.5967195375461</v>
      </c>
      <c r="V154" s="9">
        <f t="shared" si="112"/>
        <v>-104.62735691174831</v>
      </c>
      <c r="W154" s="294"/>
    </row>
    <row r="155" spans="2:23" x14ac:dyDescent="0.3">
      <c r="B155" s="51" t="s">
        <v>213</v>
      </c>
      <c r="C155" s="19" t="s">
        <v>200</v>
      </c>
      <c r="D155" s="9">
        <v>62.832000000000001</v>
      </c>
      <c r="E155" s="9">
        <v>21.736000000000001</v>
      </c>
      <c r="F155" s="9">
        <v>-336.85399999999998</v>
      </c>
      <c r="G155" s="9">
        <f t="shared" ref="G155:L155" si="113">SUM(G148:G154)</f>
        <v>260.32400000000001</v>
      </c>
      <c r="H155" s="9">
        <f t="shared" si="113"/>
        <v>114.72899999999981</v>
      </c>
      <c r="I155" s="9">
        <f t="shared" si="113"/>
        <v>1811.7835170000005</v>
      </c>
      <c r="J155" s="9">
        <f t="shared" si="113"/>
        <v>-1441.9590000000003</v>
      </c>
      <c r="K155" s="9">
        <f t="shared" si="113"/>
        <v>-2265.9517820000001</v>
      </c>
      <c r="L155" s="9">
        <f t="shared" si="113"/>
        <v>-8868.1400000000012</v>
      </c>
      <c r="N155" s="9">
        <f t="shared" si="111"/>
        <v>211.61255557052402</v>
      </c>
      <c r="O155" s="9">
        <f t="shared" si="111"/>
        <v>70.420527441197436</v>
      </c>
      <c r="P155" s="9">
        <f t="shared" si="111"/>
        <v>-1086.9764440141983</v>
      </c>
      <c r="Q155" s="9">
        <f>IFERROR(G155/Q$68*1000,0)</f>
        <v>835.81840364733841</v>
      </c>
      <c r="R155" s="9">
        <f t="shared" si="112"/>
        <v>359.79866403236372</v>
      </c>
      <c r="S155" s="9">
        <f t="shared" si="112"/>
        <v>5568.7214292300614</v>
      </c>
      <c r="T155" s="9">
        <f t="shared" si="112"/>
        <v>-4106.1565623487204</v>
      </c>
      <c r="U155" s="9">
        <f t="shared" si="112"/>
        <v>-6452.5779024404137</v>
      </c>
      <c r="V155" s="9">
        <f t="shared" si="112"/>
        <v>-24735.412250362606</v>
      </c>
      <c r="W155" s="294"/>
    </row>
    <row r="156" spans="2:23" x14ac:dyDescent="0.3">
      <c r="B156" s="54"/>
      <c r="C156" s="55"/>
      <c r="D156" s="56">
        <f t="shared" ref="D156:F156" si="114">+D155+D146</f>
        <v>892.78199999999981</v>
      </c>
      <c r="E156" s="56">
        <f t="shared" si="114"/>
        <v>681.18799999999999</v>
      </c>
      <c r="F156" s="56">
        <f t="shared" si="114"/>
        <v>1031.6409999999998</v>
      </c>
      <c r="G156" s="56">
        <f t="shared" ref="G156:L156" si="115">+G155+G146</f>
        <v>2295.8379999999997</v>
      </c>
      <c r="H156" s="56">
        <f t="shared" si="115"/>
        <v>1245.6579999999994</v>
      </c>
      <c r="I156" s="56">
        <f t="shared" si="115"/>
        <v>3363.7273330000007</v>
      </c>
      <c r="J156" s="56">
        <f t="shared" si="115"/>
        <v>1021.8086889999968</v>
      </c>
      <c r="K156" s="56">
        <f t="shared" si="115"/>
        <v>5334.5099864148124</v>
      </c>
      <c r="L156" s="56">
        <f t="shared" si="115"/>
        <v>7381.0240000000031</v>
      </c>
      <c r="N156" s="56">
        <f t="shared" ref="N156" si="116">+N155+N146</f>
        <v>3006.8099151286538</v>
      </c>
      <c r="O156" s="56">
        <f t="shared" ref="O156" si="117">+O155+O146</f>
        <v>2206.9202358582256</v>
      </c>
      <c r="P156" s="56">
        <f t="shared" ref="P156" si="118">+P155+P146</f>
        <v>3328.9480477573406</v>
      </c>
      <c r="Q156" s="56">
        <f>+Q155+Q146</f>
        <v>7371.2129968535282</v>
      </c>
      <c r="R156" s="56">
        <f t="shared" ref="R156:V156" si="119">+R155+R146</f>
        <v>3906.4759933515215</v>
      </c>
      <c r="S156" s="56">
        <f t="shared" si="119"/>
        <v>10338.796167204549</v>
      </c>
      <c r="T156" s="56">
        <f t="shared" si="119"/>
        <v>2909.7265968049587</v>
      </c>
      <c r="U156" s="56">
        <f t="shared" si="119"/>
        <v>15190.676841458011</v>
      </c>
      <c r="V156" s="56">
        <f t="shared" si="119"/>
        <v>20587.481869909629</v>
      </c>
      <c r="W156" s="294"/>
    </row>
    <row r="157" spans="2:23" x14ac:dyDescent="0.3">
      <c r="B157" s="50" t="s">
        <v>214</v>
      </c>
      <c r="C157" s="8" t="s">
        <v>215</v>
      </c>
      <c r="D157" s="9">
        <v>46.523000000000003</v>
      </c>
      <c r="E157" s="9">
        <v>19.047999999999998</v>
      </c>
      <c r="F157" s="9">
        <v>-21.923999999999999</v>
      </c>
      <c r="G157" s="9">
        <v>-38.972000000000001</v>
      </c>
      <c r="H157" s="9">
        <v>-50.362000000000002</v>
      </c>
      <c r="I157" s="9"/>
      <c r="J157" s="9"/>
      <c r="K157" s="9"/>
      <c r="L157" s="9"/>
      <c r="N157" s="9">
        <f t="shared" ref="N157:P158" si="120">IFERROR(D157/M$68*1000,0)</f>
        <v>156.68530243836722</v>
      </c>
      <c r="O157" s="9">
        <f t="shared" si="120"/>
        <v>61.711916024104184</v>
      </c>
      <c r="P157" s="9">
        <f t="shared" si="120"/>
        <v>-70.745401742497577</v>
      </c>
      <c r="Q157" s="9">
        <f>IFERROR(G157/Q$68*1000,0)</f>
        <v>-125.12682206382844</v>
      </c>
      <c r="R157" s="9">
        <f t="shared" ref="R157:V158" si="121">IFERROR(H157/R$68*1000,0)</f>
        <v>-157.93897199485684</v>
      </c>
      <c r="S157" s="9">
        <f t="shared" si="121"/>
        <v>0</v>
      </c>
      <c r="T157" s="9">
        <f t="shared" si="121"/>
        <v>0</v>
      </c>
      <c r="U157" s="9">
        <f t="shared" si="121"/>
        <v>0</v>
      </c>
      <c r="V157" s="9">
        <f t="shared" si="121"/>
        <v>0</v>
      </c>
      <c r="W157" s="294"/>
    </row>
    <row r="158" spans="2:23" x14ac:dyDescent="0.3">
      <c r="B158" s="50" t="s">
        <v>216</v>
      </c>
      <c r="C158" s="8" t="s">
        <v>217</v>
      </c>
      <c r="D158" s="9">
        <v>-297.10700000000003</v>
      </c>
      <c r="E158" s="9">
        <v>-371.94900000000001</v>
      </c>
      <c r="F158" s="9">
        <v>-312.12599999999998</v>
      </c>
      <c r="G158" s="9">
        <v>-233.69399999999999</v>
      </c>
      <c r="H158" s="9">
        <v>-231.95</v>
      </c>
      <c r="I158" s="9"/>
      <c r="J158" s="9"/>
      <c r="K158" s="9"/>
      <c r="L158" s="9"/>
      <c r="N158" s="9">
        <f t="shared" si="120"/>
        <v>-1000.6297992725313</v>
      </c>
      <c r="O158" s="9">
        <f t="shared" si="120"/>
        <v>-1205.0443854078922</v>
      </c>
      <c r="P158" s="9">
        <f t="shared" si="120"/>
        <v>-1007.1829622458856</v>
      </c>
      <c r="Q158" s="9">
        <f>IFERROR(G158/Q$68*1000,0)</f>
        <v>-750.31785783086116</v>
      </c>
      <c r="R158" s="9">
        <f t="shared" si="121"/>
        <v>-727.41242512622694</v>
      </c>
      <c r="S158" s="9">
        <f t="shared" si="121"/>
        <v>0</v>
      </c>
      <c r="T158" s="9">
        <f t="shared" si="121"/>
        <v>0</v>
      </c>
      <c r="U158" s="9">
        <f t="shared" si="121"/>
        <v>0</v>
      </c>
      <c r="V158" s="9">
        <f t="shared" si="121"/>
        <v>0</v>
      </c>
      <c r="W158" s="294"/>
    </row>
    <row r="159" spans="2:23" x14ac:dyDescent="0.3">
      <c r="B159" s="57" t="s">
        <v>218</v>
      </c>
      <c r="C159" s="58" t="s">
        <v>219</v>
      </c>
      <c r="D159" s="56">
        <f t="shared" ref="D159:F159" si="122">+D156+D157+D158</f>
        <v>642.19799999999987</v>
      </c>
      <c r="E159" s="56">
        <f t="shared" si="122"/>
        <v>328.28699999999998</v>
      </c>
      <c r="F159" s="56">
        <f t="shared" si="122"/>
        <v>697.59099999999989</v>
      </c>
      <c r="G159" s="56">
        <f t="shared" ref="G159:L159" si="123">+G156+G157+G158</f>
        <v>2023.1719999999996</v>
      </c>
      <c r="H159" s="56">
        <f t="shared" si="123"/>
        <v>963.34599999999932</v>
      </c>
      <c r="I159" s="56">
        <f t="shared" si="123"/>
        <v>3363.7273330000007</v>
      </c>
      <c r="J159" s="56">
        <f t="shared" si="123"/>
        <v>1021.8086889999968</v>
      </c>
      <c r="K159" s="56">
        <f t="shared" si="123"/>
        <v>5334.5099864148124</v>
      </c>
      <c r="L159" s="56">
        <f t="shared" si="123"/>
        <v>7381.0240000000031</v>
      </c>
      <c r="N159" s="56">
        <f t="shared" ref="N159" si="124">+N156+N157+N158</f>
        <v>2162.8654182944897</v>
      </c>
      <c r="O159" s="56">
        <f t="shared" ref="O159" si="125">+O156+O157+O158</f>
        <v>1063.5877664744376</v>
      </c>
      <c r="P159" s="56">
        <f t="shared" ref="P159" si="126">+P156+P157+P158</f>
        <v>2251.0196837689573</v>
      </c>
      <c r="Q159" s="56">
        <f>+Q156+Q157+Q158</f>
        <v>6495.7683169588381</v>
      </c>
      <c r="R159" s="56">
        <f t="shared" ref="R159:V159" si="127">+R156+R157+R158</f>
        <v>3021.1245962304379</v>
      </c>
      <c r="S159" s="56">
        <f t="shared" si="127"/>
        <v>10338.796167204549</v>
      </c>
      <c r="T159" s="56">
        <f t="shared" si="127"/>
        <v>2909.7265968049587</v>
      </c>
      <c r="U159" s="56">
        <f t="shared" si="127"/>
        <v>15190.676841458011</v>
      </c>
      <c r="V159" s="56">
        <f t="shared" si="127"/>
        <v>20587.481869909629</v>
      </c>
      <c r="W159" s="294"/>
    </row>
    <row r="160" spans="2:23" x14ac:dyDescent="0.3">
      <c r="B160" s="54" t="s">
        <v>220</v>
      </c>
      <c r="C160" s="55" t="s">
        <v>221</v>
      </c>
      <c r="D160" s="9">
        <v>-6.6139999999999999</v>
      </c>
      <c r="E160" s="9">
        <v>-9.266</v>
      </c>
      <c r="F160" s="9">
        <v>-36.585999999999999</v>
      </c>
      <c r="G160" s="9">
        <v>-115.673</v>
      </c>
      <c r="H160" s="9">
        <v>-86.578000000000003</v>
      </c>
      <c r="I160" s="9"/>
      <c r="J160" s="9"/>
      <c r="K160" s="9"/>
      <c r="L160" s="9"/>
      <c r="N160" s="9">
        <f t="shared" ref="N160:P160" si="128">IFERROR(D160/M$68*1000,0)</f>
        <v>-22.275360366428668</v>
      </c>
      <c r="O160" s="9">
        <f t="shared" si="128"/>
        <v>-30.020086826929305</v>
      </c>
      <c r="P160" s="9">
        <f t="shared" si="128"/>
        <v>-118.05743788318813</v>
      </c>
      <c r="Q160" s="9">
        <f>IFERROR(G160/Q$68*1000,0)</f>
        <v>-371.38958453734028</v>
      </c>
      <c r="R160" s="9">
        <f t="shared" ref="R160:V160" si="129">IFERROR(H160/R$68*1000,0)</f>
        <v>-271.51503747608746</v>
      </c>
      <c r="S160" s="9">
        <f t="shared" si="129"/>
        <v>0</v>
      </c>
      <c r="T160" s="9">
        <f t="shared" si="129"/>
        <v>0</v>
      </c>
      <c r="U160" s="9">
        <f t="shared" si="129"/>
        <v>0</v>
      </c>
      <c r="V160" s="9">
        <f t="shared" si="129"/>
        <v>0</v>
      </c>
      <c r="W160" s="294"/>
    </row>
    <row r="161" spans="2:23" x14ac:dyDescent="0.3">
      <c r="B161" s="52" t="s">
        <v>222</v>
      </c>
      <c r="C161" s="6" t="s">
        <v>223</v>
      </c>
      <c r="D161" s="13">
        <f t="shared" ref="D161:F161" si="130">+D159+D160</f>
        <v>635.58399999999983</v>
      </c>
      <c r="E161" s="13">
        <f t="shared" si="130"/>
        <v>319.02099999999996</v>
      </c>
      <c r="F161" s="13">
        <f t="shared" si="130"/>
        <v>661.00499999999988</v>
      </c>
      <c r="G161" s="13">
        <f t="shared" ref="G161:L161" si="131">+G159+G160</f>
        <v>1907.4989999999996</v>
      </c>
      <c r="H161" s="13">
        <f t="shared" si="131"/>
        <v>876.76799999999935</v>
      </c>
      <c r="I161" s="13">
        <f t="shared" si="131"/>
        <v>3363.7273330000007</v>
      </c>
      <c r="J161" s="13">
        <f t="shared" si="131"/>
        <v>1021.8086889999968</v>
      </c>
      <c r="K161" s="13">
        <f t="shared" si="131"/>
        <v>5334.5099864148124</v>
      </c>
      <c r="L161" s="13">
        <f t="shared" si="131"/>
        <v>7381.0240000000031</v>
      </c>
      <c r="N161" s="13">
        <f t="shared" ref="N161" si="132">+N159+N160</f>
        <v>2140.590057928061</v>
      </c>
      <c r="O161" s="13">
        <f t="shared" ref="O161" si="133">+O159+O160</f>
        <v>1033.5676796475082</v>
      </c>
      <c r="P161" s="13">
        <f t="shared" ref="P161" si="134">+P159+P160</f>
        <v>2132.9622458857693</v>
      </c>
      <c r="Q161" s="13">
        <f>+Q159+Q160</f>
        <v>6124.3787324214982</v>
      </c>
      <c r="R161" s="13">
        <f t="shared" ref="R161:V161" si="135">+R159+R160</f>
        <v>2749.6095587543505</v>
      </c>
      <c r="S161" s="13">
        <f t="shared" si="135"/>
        <v>10338.796167204549</v>
      </c>
      <c r="T161" s="13">
        <f t="shared" si="135"/>
        <v>2909.7265968049587</v>
      </c>
      <c r="U161" s="13">
        <f t="shared" si="135"/>
        <v>15190.676841458011</v>
      </c>
      <c r="V161" s="13">
        <f t="shared" si="135"/>
        <v>20587.481869909629</v>
      </c>
      <c r="W161" s="294"/>
    </row>
    <row r="162" spans="2:23" x14ac:dyDescent="0.3">
      <c r="B162" s="50" t="s">
        <v>224</v>
      </c>
      <c r="C162" s="8" t="s">
        <v>225</v>
      </c>
      <c r="D162" s="9">
        <v>37.470999999999997</v>
      </c>
      <c r="E162" s="9">
        <v>25.259</v>
      </c>
      <c r="F162" s="9">
        <v>36.619999999999997</v>
      </c>
      <c r="G162" s="9">
        <v>7.6289999999999996</v>
      </c>
      <c r="H162" s="9">
        <v>22.95</v>
      </c>
      <c r="I162" s="9">
        <v>8.2543279999999992</v>
      </c>
      <c r="J162" s="9">
        <v>20.228093000000001</v>
      </c>
      <c r="K162" s="9">
        <v>15.446</v>
      </c>
      <c r="L162" s="9">
        <v>41.354999999999997</v>
      </c>
      <c r="N162" s="9">
        <f t="shared" ref="N162:P165" si="136">IFERROR(D162/M$68*1000,0)</f>
        <v>126.19897615519329</v>
      </c>
      <c r="O162" s="9">
        <f t="shared" si="136"/>
        <v>81.83438087215707</v>
      </c>
      <c r="P162" s="9">
        <f t="shared" si="136"/>
        <v>118.16715069377219</v>
      </c>
      <c r="Q162" s="9">
        <f>IFERROR(G162/Q$68*1000,0)</f>
        <v>24.49431708726642</v>
      </c>
      <c r="R162" s="9">
        <f t="shared" ref="R162:V166" si="137">IFERROR(H162/R$68*1000,0)</f>
        <v>71.972904318374262</v>
      </c>
      <c r="S162" s="9">
        <f t="shared" si="137"/>
        <v>25.370610112186874</v>
      </c>
      <c r="T162" s="9">
        <f t="shared" si="137"/>
        <v>57.601996184184301</v>
      </c>
      <c r="U162" s="9">
        <f t="shared" si="137"/>
        <v>43.984395022353844</v>
      </c>
      <c r="V162" s="9">
        <f t="shared" si="137"/>
        <v>115.34921343300233</v>
      </c>
      <c r="W162" s="294"/>
    </row>
    <row r="163" spans="2:23" x14ac:dyDescent="0.3">
      <c r="B163" s="50" t="s">
        <v>226</v>
      </c>
      <c r="C163" s="8" t="s">
        <v>227</v>
      </c>
      <c r="D163" s="9">
        <v>-139.74700000000001</v>
      </c>
      <c r="E163" s="9">
        <v>-181.18899999999999</v>
      </c>
      <c r="F163" s="9">
        <v>-206.37</v>
      </c>
      <c r="G163" s="9">
        <v>-151.86500000000001</v>
      </c>
      <c r="H163" s="9">
        <v>-1529.6179999999999</v>
      </c>
      <c r="I163" s="9">
        <v>-6422.3345640000007</v>
      </c>
      <c r="J163" s="9">
        <v>-10061.722758</v>
      </c>
      <c r="K163" s="9">
        <v>-5631.1510979423483</v>
      </c>
      <c r="L163" s="9">
        <v>-3534.7660000000001</v>
      </c>
      <c r="N163" s="9">
        <f t="shared" si="136"/>
        <v>-470.65539539269838</v>
      </c>
      <c r="O163" s="9">
        <f t="shared" si="136"/>
        <v>-587.01807814423637</v>
      </c>
      <c r="P163" s="9">
        <f t="shared" si="136"/>
        <v>-665.92449177153924</v>
      </c>
      <c r="Q163" s="9">
        <f>IFERROR(G163/Q$68*1000,0)</f>
        <v>-487.5907018557761</v>
      </c>
      <c r="R163" s="9">
        <f t="shared" si="137"/>
        <v>-4796.9956408567759</v>
      </c>
      <c r="S163" s="9">
        <f t="shared" si="137"/>
        <v>-19739.771212540341</v>
      </c>
      <c r="T163" s="9">
        <f t="shared" si="137"/>
        <v>-28651.999766494857</v>
      </c>
      <c r="U163" s="9">
        <f t="shared" si="137"/>
        <v>-16035.399088596258</v>
      </c>
      <c r="V163" s="9">
        <f t="shared" si="137"/>
        <v>-9859.3272341849824</v>
      </c>
      <c r="W163" s="294"/>
    </row>
    <row r="164" spans="2:23" x14ac:dyDescent="0.3">
      <c r="B164" s="50" t="s">
        <v>228</v>
      </c>
      <c r="C164" s="8" t="s">
        <v>229</v>
      </c>
      <c r="D164" s="9">
        <v>-97.2</v>
      </c>
      <c r="E164" s="9">
        <v>0</v>
      </c>
      <c r="F164" s="9">
        <v>696.77599999999995</v>
      </c>
      <c r="G164" s="9">
        <v>0</v>
      </c>
      <c r="H164" s="11">
        <v>0</v>
      </c>
      <c r="I164" s="11">
        <v>-450.90285700000004</v>
      </c>
      <c r="J164" s="11">
        <v>-2753.1030000000001</v>
      </c>
      <c r="K164" s="11">
        <v>-2134.8918139462235</v>
      </c>
      <c r="L164" s="11">
        <v>0</v>
      </c>
      <c r="M164" s="12"/>
      <c r="N164" s="9">
        <f t="shared" si="136"/>
        <v>-327.36090529435535</v>
      </c>
      <c r="O164" s="9">
        <f t="shared" si="136"/>
        <v>0</v>
      </c>
      <c r="P164" s="9">
        <f t="shared" si="136"/>
        <v>2248.3898031623103</v>
      </c>
      <c r="Q164" s="9">
        <f>IFERROR(G164/Q$68*1000,0)</f>
        <v>0</v>
      </c>
      <c r="R164" s="9">
        <f t="shared" si="137"/>
        <v>0</v>
      </c>
      <c r="S164" s="9">
        <f t="shared" si="137"/>
        <v>-1385.9008974950054</v>
      </c>
      <c r="T164" s="9">
        <f t="shared" si="137"/>
        <v>-7839.8012358686674</v>
      </c>
      <c r="U164" s="9">
        <f t="shared" si="137"/>
        <v>-6079.3684367862388</v>
      </c>
      <c r="V164" s="9">
        <f t="shared" si="137"/>
        <v>0</v>
      </c>
      <c r="W164" s="294"/>
    </row>
    <row r="165" spans="2:23" x14ac:dyDescent="0.3">
      <c r="B165" s="50" t="s">
        <v>230</v>
      </c>
      <c r="C165" s="8" t="s">
        <v>231</v>
      </c>
      <c r="D165" s="9">
        <v>0.72899999999999998</v>
      </c>
      <c r="E165" s="9">
        <v>29.62</v>
      </c>
      <c r="F165" s="9">
        <v>21.923999999999999</v>
      </c>
      <c r="G165" s="9">
        <v>188.74799999999999</v>
      </c>
      <c r="H165" s="9">
        <v>102.581</v>
      </c>
      <c r="I165" s="9">
        <v>1.2130000000000001</v>
      </c>
      <c r="J165" s="9">
        <v>0</v>
      </c>
      <c r="K165" s="9">
        <v>0.33900000000000002</v>
      </c>
      <c r="L165" s="9">
        <v>8.8699999999999992</v>
      </c>
      <c r="N165" s="9">
        <f t="shared" si="136"/>
        <v>2.4552067897076655</v>
      </c>
      <c r="O165" s="9">
        <f t="shared" si="136"/>
        <v>95.963195749368239</v>
      </c>
      <c r="P165" s="9">
        <f t="shared" si="136"/>
        <v>70.745401742497577</v>
      </c>
      <c r="Q165" s="9">
        <f>IFERROR(G165/Q$68*1000,0)</f>
        <v>606.01040261991909</v>
      </c>
      <c r="R165" s="9">
        <f t="shared" si="137"/>
        <v>321.70163389469064</v>
      </c>
      <c r="S165" s="9">
        <f t="shared" si="137"/>
        <v>3.7282926079606575</v>
      </c>
      <c r="T165" s="9">
        <f t="shared" si="137"/>
        <v>0</v>
      </c>
      <c r="U165" s="9">
        <f t="shared" si="137"/>
        <v>0.96534442008144206</v>
      </c>
      <c r="V165" s="9">
        <f t="shared" si="137"/>
        <v>24.740600245453532</v>
      </c>
      <c r="W165" s="294"/>
    </row>
    <row r="166" spans="2:23" x14ac:dyDescent="0.3">
      <c r="B166" s="50" t="s">
        <v>425</v>
      </c>
      <c r="C166" s="8" t="s">
        <v>426</v>
      </c>
      <c r="D166" s="9"/>
      <c r="E166" s="9"/>
      <c r="F166" s="9"/>
      <c r="G166" s="9"/>
      <c r="H166" s="9"/>
      <c r="I166" s="9"/>
      <c r="J166" s="9"/>
      <c r="K166" s="9">
        <v>136.24100000000001</v>
      </c>
      <c r="L166" s="9">
        <v>128.94900000000001</v>
      </c>
      <c r="N166" s="9"/>
      <c r="O166" s="9"/>
      <c r="P166" s="9"/>
      <c r="Q166" s="9">
        <f>IFERROR(G166/Q$68*1000,0)</f>
        <v>0</v>
      </c>
      <c r="R166" s="9">
        <f t="shared" ref="R166" si="138">IFERROR(H166/R$68*1000,0)</f>
        <v>0</v>
      </c>
      <c r="S166" s="9">
        <f t="shared" ref="S166" si="139">IFERROR(I166/S$68*1000,0)</f>
        <v>0</v>
      </c>
      <c r="T166" s="9">
        <f t="shared" ref="T166" si="140">IFERROR(J166/T$68*1000,0)</f>
        <v>0</v>
      </c>
      <c r="U166" s="9">
        <f t="shared" ref="U166" si="141">IFERROR(K166/U$68*1000,0)</f>
        <v>387.96309479739159</v>
      </c>
      <c r="V166" s="9">
        <f t="shared" ref="V166" si="142">IFERROR(L166/V$68*1000,0)</f>
        <v>359.67031127970552</v>
      </c>
      <c r="W166" s="294"/>
    </row>
    <row r="167" spans="2:23" x14ac:dyDescent="0.3">
      <c r="B167" s="50" t="s">
        <v>232</v>
      </c>
      <c r="C167" s="8" t="s">
        <v>233</v>
      </c>
      <c r="D167" s="9">
        <v>0</v>
      </c>
      <c r="E167" s="9">
        <v>0</v>
      </c>
      <c r="F167" s="9">
        <v>-168</v>
      </c>
      <c r="G167" s="9">
        <v>-181.03399999999999</v>
      </c>
      <c r="H167" s="11">
        <v>0</v>
      </c>
      <c r="I167" s="11">
        <v>-22.571347000000003</v>
      </c>
      <c r="J167" s="11">
        <v>25</v>
      </c>
      <c r="K167" s="11">
        <v>-47.991</v>
      </c>
      <c r="L167" s="11">
        <v>-131.39500000000001</v>
      </c>
      <c r="N167" s="9">
        <f t="shared" ref="N167:P168" si="143">IFERROR(D167/M$68*1000,0)</f>
        <v>0</v>
      </c>
      <c r="O167" s="9">
        <f t="shared" si="143"/>
        <v>0</v>
      </c>
      <c r="P167" s="9">
        <f t="shared" si="143"/>
        <v>-542.11035818005814</v>
      </c>
      <c r="Q167" s="9">
        <f>IFERROR(G167/Q$68*1000,0)</f>
        <v>-581.24317729403447</v>
      </c>
      <c r="R167" s="9">
        <f t="shared" ref="R167:V168" si="144">IFERROR(H167/R$68*1000,0)</f>
        <v>0</v>
      </c>
      <c r="S167" s="9">
        <f t="shared" si="144"/>
        <v>-69.375586291685892</v>
      </c>
      <c r="T167" s="9">
        <f t="shared" si="144"/>
        <v>71.190591451433775</v>
      </c>
      <c r="U167" s="9">
        <f t="shared" si="144"/>
        <v>-136.66030697383033</v>
      </c>
      <c r="V167" s="9">
        <f t="shared" si="144"/>
        <v>-366.4928037487449</v>
      </c>
      <c r="W167" s="294"/>
    </row>
    <row r="168" spans="2:23" x14ac:dyDescent="0.3">
      <c r="B168" s="50" t="s">
        <v>234</v>
      </c>
      <c r="C168" s="8" t="s">
        <v>235</v>
      </c>
      <c r="D168" s="9">
        <v>0</v>
      </c>
      <c r="E168" s="9">
        <v>0</v>
      </c>
      <c r="F168" s="9">
        <v>162.9</v>
      </c>
      <c r="G168" s="9">
        <v>0</v>
      </c>
      <c r="H168" s="9">
        <v>0.44800000000000001</v>
      </c>
      <c r="I168" s="9">
        <v>0</v>
      </c>
      <c r="J168" s="9">
        <v>275.58199999999999</v>
      </c>
      <c r="K168" s="9"/>
      <c r="L168" s="9"/>
      <c r="N168" s="9">
        <f t="shared" si="143"/>
        <v>0</v>
      </c>
      <c r="O168" s="9">
        <f t="shared" si="143"/>
        <v>0</v>
      </c>
      <c r="P168" s="9">
        <f t="shared" si="143"/>
        <v>525.65343659244922</v>
      </c>
      <c r="Q168" s="9">
        <f>IFERROR(G168/Q$68*1000,0)</f>
        <v>0</v>
      </c>
      <c r="R168" s="9">
        <f t="shared" si="144"/>
        <v>1.4049612694828613</v>
      </c>
      <c r="S168" s="9">
        <f t="shared" si="144"/>
        <v>0</v>
      </c>
      <c r="T168" s="9">
        <f t="shared" si="144"/>
        <v>784.75382293476093</v>
      </c>
      <c r="U168" s="9">
        <f t="shared" si="144"/>
        <v>0</v>
      </c>
      <c r="V168" s="9">
        <f t="shared" si="144"/>
        <v>0</v>
      </c>
      <c r="W168" s="294"/>
    </row>
    <row r="169" spans="2:23" x14ac:dyDescent="0.3">
      <c r="B169" s="52" t="s">
        <v>236</v>
      </c>
      <c r="C169" s="6" t="s">
        <v>237</v>
      </c>
      <c r="D169" s="13">
        <f t="shared" ref="D169:F169" si="145">SUM(D162:D168)</f>
        <v>-198.74699999999999</v>
      </c>
      <c r="E169" s="13">
        <f t="shared" si="145"/>
        <v>-126.31</v>
      </c>
      <c r="F169" s="13">
        <f t="shared" si="145"/>
        <v>543.84999999999991</v>
      </c>
      <c r="G169" s="13">
        <f t="shared" ref="G169:L169" si="146">SUM(G162:G168)</f>
        <v>-136.52200000000002</v>
      </c>
      <c r="H169" s="13">
        <f t="shared" si="146"/>
        <v>-1403.6389999999999</v>
      </c>
      <c r="I169" s="13">
        <f t="shared" si="146"/>
        <v>-6886.3414400000011</v>
      </c>
      <c r="J169" s="13">
        <f t="shared" si="146"/>
        <v>-12494.015665000001</v>
      </c>
      <c r="K169" s="13">
        <f t="shared" si="146"/>
        <v>-7662.0079118885715</v>
      </c>
      <c r="L169" s="13">
        <f t="shared" si="146"/>
        <v>-3486.9870000000001</v>
      </c>
      <c r="N169" s="13">
        <f t="shared" ref="N169" si="147">SUM(N162:N168)</f>
        <v>-669.3621177421528</v>
      </c>
      <c r="O169" s="13">
        <f t="shared" ref="O169" si="148">SUM(O162:O168)</f>
        <v>-409.22050152271106</v>
      </c>
      <c r="P169" s="13">
        <f t="shared" ref="P169" si="149">SUM(P162:P168)</f>
        <v>1754.9209422394317</v>
      </c>
      <c r="Q169" s="13">
        <f>SUM(Q162:Q168)</f>
        <v>-438.32915944262504</v>
      </c>
      <c r="R169" s="13">
        <f t="shared" ref="R169:V169" si="150">SUM(R162:R168)</f>
        <v>-4401.9161413742286</v>
      </c>
      <c r="S169" s="13">
        <f t="shared" si="150"/>
        <v>-21165.948793606884</v>
      </c>
      <c r="T169" s="13">
        <f t="shared" si="150"/>
        <v>-35578.254591793142</v>
      </c>
      <c r="U169" s="13">
        <f t="shared" si="150"/>
        <v>-21818.514998116498</v>
      </c>
      <c r="V169" s="13">
        <f t="shared" si="150"/>
        <v>-9726.0599129755647</v>
      </c>
      <c r="W169" s="294"/>
    </row>
    <row r="170" spans="2:23" x14ac:dyDescent="0.3">
      <c r="B170" s="50" t="s">
        <v>216</v>
      </c>
      <c r="C170" s="8" t="s">
        <v>420</v>
      </c>
      <c r="D170" s="294"/>
      <c r="E170" s="294"/>
      <c r="F170" s="294"/>
      <c r="G170" s="294"/>
      <c r="H170" s="294"/>
      <c r="I170" s="9">
        <v>-236.55679999999998</v>
      </c>
      <c r="J170" s="9">
        <v>-515.90647799999999</v>
      </c>
      <c r="K170" s="9">
        <v>-692.48561100000006</v>
      </c>
      <c r="L170" s="9">
        <v>-770.03499999999997</v>
      </c>
      <c r="N170" s="294"/>
      <c r="O170" s="294"/>
      <c r="P170" s="294"/>
      <c r="Q170" s="294"/>
      <c r="R170" s="9">
        <f t="shared" ref="R170" si="151">IFERROR(H170/R$68*1000,0)</f>
        <v>0</v>
      </c>
      <c r="S170" s="9">
        <f t="shared" ref="S170" si="152">IFERROR(I170/S$68*1000,0)</f>
        <v>-727.08406331642834</v>
      </c>
      <c r="T170" s="9">
        <f t="shared" ref="T170" si="153">IFERROR(J170/T$68*1000,0)</f>
        <v>-1469.1074920978442</v>
      </c>
      <c r="U170" s="9">
        <f t="shared" ref="U170" si="154">IFERROR(K170/U$68*1000,0)</f>
        <v>-1971.9384087479</v>
      </c>
      <c r="V170" s="9">
        <f t="shared" ref="V170" si="155">IFERROR(L170/V$68*1000,0)</f>
        <v>-2147.816021421399</v>
      </c>
      <c r="W170" s="294"/>
    </row>
    <row r="171" spans="2:23" x14ac:dyDescent="0.3">
      <c r="B171" s="50" t="s">
        <v>238</v>
      </c>
      <c r="C171" s="8" t="s">
        <v>24</v>
      </c>
      <c r="D171" s="9">
        <v>500</v>
      </c>
      <c r="E171" s="9">
        <v>43.064999999999998</v>
      </c>
      <c r="F171" s="9">
        <v>52.3</v>
      </c>
      <c r="G171" s="9">
        <v>0</v>
      </c>
      <c r="H171" s="9">
        <v>189</v>
      </c>
      <c r="I171" s="9">
        <v>3742.6226150000002</v>
      </c>
      <c r="J171" s="9">
        <v>3267.4789999999998</v>
      </c>
      <c r="K171" s="9">
        <v>-271.7</v>
      </c>
      <c r="L171" s="9">
        <v>-2361.8690000000001</v>
      </c>
      <c r="N171" s="9">
        <f t="shared" ref="N171:P175" si="156">IFERROR(D171/M$68*1000,0)</f>
        <v>1683.9552741479185</v>
      </c>
      <c r="O171" s="9">
        <f t="shared" si="156"/>
        <v>139.52245188880968</v>
      </c>
      <c r="P171" s="9">
        <f t="shared" si="156"/>
        <v>168.76411745724428</v>
      </c>
      <c r="Q171" s="9">
        <f>IFERROR(G171/Q$68*1000,0)</f>
        <v>0</v>
      </c>
      <c r="R171" s="9">
        <f t="shared" ref="R171:V175" si="157">IFERROR(H171/R$68*1000,0)</f>
        <v>592.71803556308214</v>
      </c>
      <c r="S171" s="9">
        <f t="shared" si="157"/>
        <v>11503.373643768249</v>
      </c>
      <c r="T171" s="9">
        <f t="shared" si="157"/>
        <v>9304.5505026055744</v>
      </c>
      <c r="U171" s="9">
        <f t="shared" si="157"/>
        <v>-773.69934789418221</v>
      </c>
      <c r="V171" s="9">
        <f t="shared" si="157"/>
        <v>-6587.8305254936968</v>
      </c>
      <c r="W171" s="294"/>
    </row>
    <row r="172" spans="2:23" x14ac:dyDescent="0.3">
      <c r="B172" s="50" t="s">
        <v>239</v>
      </c>
      <c r="C172" s="8" t="s">
        <v>240</v>
      </c>
      <c r="D172" s="9">
        <v>-986.93600000000004</v>
      </c>
      <c r="E172" s="9">
        <v>-848.23800000000006</v>
      </c>
      <c r="F172" s="9">
        <v>-1033.777</v>
      </c>
      <c r="G172" s="9">
        <v>-719.26300000000003</v>
      </c>
      <c r="H172" s="9">
        <v>-320.14</v>
      </c>
      <c r="I172" s="9">
        <v>0</v>
      </c>
      <c r="J172" s="9"/>
      <c r="K172" s="9"/>
      <c r="L172" s="9"/>
      <c r="N172" s="9">
        <f t="shared" si="156"/>
        <v>-3323.9121648929004</v>
      </c>
      <c r="O172" s="9">
        <f t="shared" si="156"/>
        <v>-2748.1306291712563</v>
      </c>
      <c r="P172" s="9">
        <f t="shared" si="156"/>
        <v>-3335.8405937399166</v>
      </c>
      <c r="Q172" s="9">
        <f>IFERROR(G172/Q$68*1000,0)</f>
        <v>-2309.3270403904194</v>
      </c>
      <c r="R172" s="9">
        <f t="shared" si="157"/>
        <v>-1003.9828143130429</v>
      </c>
      <c r="S172" s="9">
        <f t="shared" si="157"/>
        <v>0</v>
      </c>
      <c r="T172" s="9">
        <f t="shared" si="157"/>
        <v>0</v>
      </c>
      <c r="U172" s="9">
        <f t="shared" si="157"/>
        <v>0</v>
      </c>
      <c r="V172" s="9">
        <f t="shared" si="157"/>
        <v>0</v>
      </c>
      <c r="W172" s="294"/>
    </row>
    <row r="173" spans="2:23" x14ac:dyDescent="0.3">
      <c r="B173" s="50" t="s">
        <v>241</v>
      </c>
      <c r="C173" s="8" t="s">
        <v>242</v>
      </c>
      <c r="D173" s="9" t="s">
        <v>12</v>
      </c>
      <c r="E173" s="9">
        <v>2655.1289999999999</v>
      </c>
      <c r="F173" s="9" t="s">
        <v>12</v>
      </c>
      <c r="G173" s="9">
        <v>0</v>
      </c>
      <c r="H173" s="9">
        <v>2630.623</v>
      </c>
      <c r="I173" s="9">
        <v>0</v>
      </c>
      <c r="J173" s="9">
        <v>10289.245999999999</v>
      </c>
      <c r="K173" s="9">
        <v>3904.7089999999998</v>
      </c>
      <c r="L173" s="9"/>
      <c r="N173" s="9">
        <f t="shared" si="156"/>
        <v>0</v>
      </c>
      <c r="O173" s="9">
        <f t="shared" si="156"/>
        <v>8602.1155964491663</v>
      </c>
      <c r="P173" s="9">
        <f t="shared" si="156"/>
        <v>0</v>
      </c>
      <c r="Q173" s="9">
        <f>IFERROR(G173/Q$68*1000,0)</f>
        <v>0</v>
      </c>
      <c r="R173" s="9">
        <f t="shared" si="157"/>
        <v>8249.8290839527072</v>
      </c>
      <c r="S173" s="9">
        <f t="shared" si="157"/>
        <v>0</v>
      </c>
      <c r="T173" s="9">
        <f t="shared" si="157"/>
        <v>29299.900333171965</v>
      </c>
      <c r="U173" s="9">
        <f t="shared" si="157"/>
        <v>11119.141726229462</v>
      </c>
      <c r="V173" s="9">
        <f t="shared" si="157"/>
        <v>0</v>
      </c>
      <c r="W173" s="294"/>
    </row>
    <row r="174" spans="2:23" x14ac:dyDescent="0.3">
      <c r="B174" s="50" t="s">
        <v>243</v>
      </c>
      <c r="C174" s="8" t="s">
        <v>244</v>
      </c>
      <c r="D174" s="9">
        <v>0</v>
      </c>
      <c r="E174" s="9">
        <v>-579.99199999999996</v>
      </c>
      <c r="F174" s="9" t="s">
        <v>12</v>
      </c>
      <c r="G174" s="9">
        <v>0</v>
      </c>
      <c r="H174" s="9">
        <v>-2636.4639999999999</v>
      </c>
      <c r="I174" s="9">
        <v>0</v>
      </c>
      <c r="J174" s="9">
        <v>-1013.026</v>
      </c>
      <c r="K174" s="9">
        <v>-2150</v>
      </c>
      <c r="L174" s="9"/>
      <c r="M174" s="9"/>
      <c r="N174" s="9">
        <f t="shared" si="156"/>
        <v>0</v>
      </c>
      <c r="O174" s="9">
        <f t="shared" si="156"/>
        <v>-1879.0643426423894</v>
      </c>
      <c r="P174" s="9">
        <f t="shared" si="156"/>
        <v>0</v>
      </c>
      <c r="Q174" s="9">
        <f>IFERROR(G174/Q$68*1000,0)</f>
        <v>0</v>
      </c>
      <c r="R174" s="9">
        <f t="shared" si="157"/>
        <v>-8268.1468937184436</v>
      </c>
      <c r="S174" s="9">
        <f t="shared" si="157"/>
        <v>0</v>
      </c>
      <c r="T174" s="9">
        <f t="shared" si="157"/>
        <v>-2884.7168038272057</v>
      </c>
      <c r="U174" s="9">
        <f t="shared" si="157"/>
        <v>-6122.3908648233046</v>
      </c>
      <c r="V174" s="9">
        <f t="shared" si="157"/>
        <v>0</v>
      </c>
      <c r="W174" s="294"/>
    </row>
    <row r="175" spans="2:23" x14ac:dyDescent="0.3">
      <c r="B175" s="50" t="s">
        <v>245</v>
      </c>
      <c r="C175" s="8" t="s">
        <v>246</v>
      </c>
      <c r="D175" s="9">
        <v>0</v>
      </c>
      <c r="E175" s="9" t="s">
        <v>12</v>
      </c>
      <c r="F175" s="9">
        <v>-365.76100000000002</v>
      </c>
      <c r="G175" s="9">
        <v>1140.0909999999999</v>
      </c>
      <c r="H175" s="11">
        <v>0</v>
      </c>
      <c r="I175" s="11">
        <v>-4.0593449999999995</v>
      </c>
      <c r="J175" s="11">
        <v>-6.1260000000000003</v>
      </c>
      <c r="K175" s="11">
        <v>-30.725000000000001</v>
      </c>
      <c r="L175" s="11">
        <v>-93.382000000000005</v>
      </c>
      <c r="N175" s="9">
        <f t="shared" si="156"/>
        <v>0</v>
      </c>
      <c r="O175" s="9">
        <f t="shared" si="156"/>
        <v>0</v>
      </c>
      <c r="P175" s="9">
        <f t="shared" si="156"/>
        <v>-1180.2549209422396</v>
      </c>
      <c r="Q175" s="9">
        <f>IFERROR(G175/Q$68*1000,0)</f>
        <v>3660.4732549926152</v>
      </c>
      <c r="R175" s="9">
        <f t="shared" si="157"/>
        <v>0</v>
      </c>
      <c r="S175" s="9">
        <f t="shared" si="157"/>
        <v>-12.47685569386814</v>
      </c>
      <c r="T175" s="9">
        <f t="shared" si="157"/>
        <v>-17.444542529259333</v>
      </c>
      <c r="U175" s="9">
        <f t="shared" si="157"/>
        <v>-87.49323689381211</v>
      </c>
      <c r="V175" s="9">
        <f t="shared" si="157"/>
        <v>-260.46524601138015</v>
      </c>
      <c r="W175" s="294"/>
    </row>
    <row r="176" spans="2:23" x14ac:dyDescent="0.3">
      <c r="B176" s="50" t="s">
        <v>427</v>
      </c>
      <c r="C176" s="8" t="s">
        <v>428</v>
      </c>
      <c r="D176" s="9"/>
      <c r="E176" s="9"/>
      <c r="F176" s="9"/>
      <c r="G176" s="9"/>
      <c r="H176" s="11"/>
      <c r="I176" s="11"/>
      <c r="J176" s="9">
        <v>1987.0609999999999</v>
      </c>
      <c r="K176" s="11">
        <v>129.16</v>
      </c>
      <c r="L176" s="11"/>
      <c r="N176" s="9"/>
      <c r="O176" s="9"/>
      <c r="P176" s="9"/>
      <c r="Q176" s="9">
        <f t="shared" ref="Q176:Q179" si="158">IFERROR(G176/Q$68*1000,0)</f>
        <v>0</v>
      </c>
      <c r="R176" s="9">
        <f t="shared" ref="R176:R179" si="159">IFERROR(H176/R$68*1000,0)</f>
        <v>0</v>
      </c>
      <c r="S176" s="9">
        <f t="shared" ref="S176:S179" si="160">IFERROR(I176/S$68*1000,0)</f>
        <v>0</v>
      </c>
      <c r="T176" s="9">
        <f t="shared" ref="T176:T179" si="161">IFERROR(J176/T$68*1000,0)</f>
        <v>5658.4019136030975</v>
      </c>
      <c r="U176" s="9">
        <f t="shared" ref="U176:U179" si="162">IFERROR(K176/U$68*1000,0)</f>
        <v>367.79907167468747</v>
      </c>
      <c r="V176" s="9">
        <f t="shared" ref="V176:V179" si="163">IFERROR(L176/V$68*1000,0)</f>
        <v>0</v>
      </c>
      <c r="W176" s="294"/>
    </row>
    <row r="177" spans="2:23" x14ac:dyDescent="0.3">
      <c r="B177" s="50" t="s">
        <v>247</v>
      </c>
      <c r="C177" s="8" t="s">
        <v>429</v>
      </c>
      <c r="D177" s="9">
        <v>0</v>
      </c>
      <c r="E177" s="9">
        <v>0</v>
      </c>
      <c r="F177" s="9">
        <v>0</v>
      </c>
      <c r="G177" s="9">
        <v>-198.46899999999999</v>
      </c>
      <c r="H177" s="11">
        <v>-254.00700000000001</v>
      </c>
      <c r="I177" s="11">
        <v>-250.09899999999999</v>
      </c>
      <c r="J177" s="11">
        <v>-250.06800000000001</v>
      </c>
      <c r="K177" s="11">
        <v>0</v>
      </c>
      <c r="L177" s="11">
        <v>-455.27499999999998</v>
      </c>
      <c r="N177" s="9">
        <f t="shared" ref="N177:P179" si="164">IFERROR(D177/M$68*1000,0)</f>
        <v>0</v>
      </c>
      <c r="O177" s="9">
        <f t="shared" si="164"/>
        <v>0</v>
      </c>
      <c r="P177" s="9">
        <f t="shared" si="164"/>
        <v>0</v>
      </c>
      <c r="Q177" s="9">
        <f t="shared" si="158"/>
        <v>-637.22147306235161</v>
      </c>
      <c r="R177" s="9">
        <f t="shared" si="159"/>
        <v>-796.58481512842229</v>
      </c>
      <c r="S177" s="9">
        <f t="shared" si="160"/>
        <v>-768.70754571999373</v>
      </c>
      <c r="T177" s="9">
        <f t="shared" si="161"/>
        <v>-712.09955292308564</v>
      </c>
      <c r="U177" s="9">
        <f t="shared" si="162"/>
        <v>0</v>
      </c>
      <c r="V177" s="9">
        <f t="shared" si="163"/>
        <v>-1269.8733682918667</v>
      </c>
      <c r="W177" s="294"/>
    </row>
    <row r="178" spans="2:23" x14ac:dyDescent="0.3">
      <c r="B178" s="50" t="s">
        <v>248</v>
      </c>
      <c r="C178" s="8" t="s">
        <v>249</v>
      </c>
      <c r="D178" s="9" t="s">
        <v>12</v>
      </c>
      <c r="E178" s="9" t="s">
        <v>12</v>
      </c>
      <c r="F178" s="9">
        <v>-185.221</v>
      </c>
      <c r="G178" s="9">
        <v>-1.302</v>
      </c>
      <c r="H178" s="9">
        <v>-2.4289999999999998</v>
      </c>
      <c r="I178" s="9">
        <v>0</v>
      </c>
      <c r="J178" s="9">
        <v>0</v>
      </c>
      <c r="K178" s="9"/>
      <c r="L178" s="9"/>
      <c r="N178" s="9">
        <f t="shared" si="164"/>
        <v>0</v>
      </c>
      <c r="O178" s="9">
        <f t="shared" si="164"/>
        <v>0</v>
      </c>
      <c r="P178" s="9">
        <f t="shared" si="164"/>
        <v>-597.67989674088415</v>
      </c>
      <c r="Q178" s="9">
        <f t="shared" si="158"/>
        <v>-4.1803120785975736</v>
      </c>
      <c r="R178" s="9">
        <f t="shared" si="159"/>
        <v>-7.617524382977388</v>
      </c>
      <c r="S178" s="9">
        <f t="shared" si="160"/>
        <v>0</v>
      </c>
      <c r="T178" s="9">
        <f t="shared" si="161"/>
        <v>0</v>
      </c>
      <c r="U178" s="9">
        <f t="shared" si="162"/>
        <v>0</v>
      </c>
      <c r="V178" s="9">
        <f t="shared" si="163"/>
        <v>0</v>
      </c>
      <c r="W178" s="294"/>
    </row>
    <row r="179" spans="2:23" x14ac:dyDescent="0.3">
      <c r="B179" s="50" t="s">
        <v>250</v>
      </c>
      <c r="C179" s="8" t="s">
        <v>251</v>
      </c>
      <c r="D179" s="9">
        <v>-12.766999999999999</v>
      </c>
      <c r="E179" s="9">
        <v>-88.593999999999994</v>
      </c>
      <c r="F179" s="9" t="s">
        <v>12</v>
      </c>
      <c r="G179" s="9">
        <v>0</v>
      </c>
      <c r="H179" s="9">
        <v>0</v>
      </c>
      <c r="I179" s="9">
        <v>0</v>
      </c>
      <c r="J179" s="9">
        <v>0</v>
      </c>
      <c r="K179" s="9"/>
      <c r="L179" s="9"/>
      <c r="N179" s="9">
        <f t="shared" si="164"/>
        <v>-42.998113970092945</v>
      </c>
      <c r="O179" s="9">
        <f t="shared" si="164"/>
        <v>-287.02779757662148</v>
      </c>
      <c r="P179" s="9">
        <f t="shared" si="164"/>
        <v>0</v>
      </c>
      <c r="Q179" s="9">
        <f t="shared" si="158"/>
        <v>0</v>
      </c>
      <c r="R179" s="9">
        <f t="shared" si="159"/>
        <v>0</v>
      </c>
      <c r="S179" s="9">
        <f t="shared" si="160"/>
        <v>0</v>
      </c>
      <c r="T179" s="9">
        <f t="shared" si="161"/>
        <v>0</v>
      </c>
      <c r="U179" s="9">
        <f t="shared" si="162"/>
        <v>0</v>
      </c>
      <c r="V179" s="9">
        <f t="shared" si="163"/>
        <v>0</v>
      </c>
      <c r="W179" s="294"/>
    </row>
    <row r="180" spans="2:23" x14ac:dyDescent="0.3">
      <c r="B180" s="52" t="s">
        <v>252</v>
      </c>
      <c r="C180" s="6" t="s">
        <v>253</v>
      </c>
      <c r="D180" s="13">
        <f t="shared" ref="D180:F180" si="165">SUM(D171:D179)</f>
        <v>-499.70300000000003</v>
      </c>
      <c r="E180" s="13">
        <f t="shared" si="165"/>
        <v>1181.3699999999999</v>
      </c>
      <c r="F180" s="13">
        <f t="shared" si="165"/>
        <v>-1532.4590000000001</v>
      </c>
      <c r="G180" s="13">
        <f t="shared" ref="G180:J180" si="166">SUM(G170:G179)</f>
        <v>221.05699999999987</v>
      </c>
      <c r="H180" s="13">
        <f t="shared" si="166"/>
        <v>-393.41699999999975</v>
      </c>
      <c r="I180" s="13">
        <f t="shared" si="166"/>
        <v>3251.9074700000001</v>
      </c>
      <c r="J180" s="13">
        <f t="shared" si="166"/>
        <v>13758.659522</v>
      </c>
      <c r="K180" s="13">
        <f>SUM(K170:K179)</f>
        <v>888.9583889999999</v>
      </c>
      <c r="L180" s="13">
        <f>SUM(L170:L179)</f>
        <v>-3680.5610000000001</v>
      </c>
      <c r="N180" s="13">
        <f t="shared" ref="N180:U180" si="167">SUM(N170:N179)</f>
        <v>-1682.9550047150747</v>
      </c>
      <c r="O180" s="13">
        <f t="shared" si="167"/>
        <v>3827.4152789477089</v>
      </c>
      <c r="P180" s="13">
        <f t="shared" si="167"/>
        <v>-4945.0112939657965</v>
      </c>
      <c r="Q180" s="13">
        <f t="shared" si="167"/>
        <v>709.74442946124668</v>
      </c>
      <c r="R180" s="13">
        <f t="shared" si="167"/>
        <v>-1233.7849280270968</v>
      </c>
      <c r="S180" s="13">
        <f t="shared" si="167"/>
        <v>9995.1051790379588</v>
      </c>
      <c r="T180" s="13">
        <f t="shared" si="167"/>
        <v>39179.484358003239</v>
      </c>
      <c r="U180" s="13">
        <f t="shared" si="167"/>
        <v>2531.4189395449494</v>
      </c>
      <c r="V180" s="13">
        <f>SUM(V170:V179)</f>
        <v>-10265.985161218341</v>
      </c>
      <c r="W180" s="294"/>
    </row>
    <row r="181" spans="2:23" x14ac:dyDescent="0.3">
      <c r="B181" s="52" t="s">
        <v>254</v>
      </c>
      <c r="C181" s="6" t="s">
        <v>255</v>
      </c>
      <c r="D181" s="13">
        <f t="shared" ref="D181:F181" si="168">+D180+D169+D161</f>
        <v>-62.866000000000213</v>
      </c>
      <c r="E181" s="13">
        <f t="shared" si="168"/>
        <v>1374.0809999999999</v>
      </c>
      <c r="F181" s="13">
        <f t="shared" si="168"/>
        <v>-327.60400000000027</v>
      </c>
      <c r="G181" s="13">
        <f t="shared" ref="G181:L181" si="169">+G180+G169+G161</f>
        <v>1992.0339999999994</v>
      </c>
      <c r="H181" s="13">
        <f t="shared" si="169"/>
        <v>-920.28800000000024</v>
      </c>
      <c r="I181" s="13">
        <f t="shared" si="169"/>
        <v>-270.70663700000023</v>
      </c>
      <c r="J181" s="13">
        <f t="shared" si="169"/>
        <v>2286.4525459999959</v>
      </c>
      <c r="K181" s="13">
        <f t="shared" si="169"/>
        <v>-1438.5395364737597</v>
      </c>
      <c r="L181" s="13">
        <f t="shared" si="169"/>
        <v>213.47600000000239</v>
      </c>
      <c r="N181" s="13">
        <f t="shared" ref="N181" si="170">+N180+N169+N161</f>
        <v>-211.72706452916646</v>
      </c>
      <c r="O181" s="13">
        <f t="shared" ref="O181" si="171">+O180+O169+O161</f>
        <v>4451.7624570725056</v>
      </c>
      <c r="P181" s="13">
        <f t="shared" ref="P181" si="172">+P180+P169+P161</f>
        <v>-1057.1281058405957</v>
      </c>
      <c r="Q181" s="13">
        <f>+Q180+Q169+Q161</f>
        <v>6395.7940024401196</v>
      </c>
      <c r="R181" s="13">
        <f t="shared" ref="R181:V181" si="173">+R180+R169+R161</f>
        <v>-2886.0915106469747</v>
      </c>
      <c r="S181" s="13">
        <f t="shared" si="173"/>
        <v>-832.04744736437533</v>
      </c>
      <c r="T181" s="13">
        <f t="shared" si="173"/>
        <v>6510.956363015056</v>
      </c>
      <c r="U181" s="13">
        <f t="shared" si="173"/>
        <v>-4096.4192171135364</v>
      </c>
      <c r="V181" s="13">
        <f t="shared" si="173"/>
        <v>595.43679571572284</v>
      </c>
      <c r="W181" s="294"/>
    </row>
    <row r="182" spans="2:23" x14ac:dyDescent="0.3">
      <c r="B182" s="50" t="s">
        <v>256</v>
      </c>
      <c r="C182" s="8" t="s">
        <v>257</v>
      </c>
      <c r="D182" s="9">
        <v>940.96600000000001</v>
      </c>
      <c r="E182" s="9">
        <v>878.1</v>
      </c>
      <c r="F182" s="9">
        <v>2252.163</v>
      </c>
      <c r="G182" s="9">
        <v>1924.559</v>
      </c>
      <c r="H182" s="9">
        <v>3915.0909999999999</v>
      </c>
      <c r="I182" s="9">
        <v>2825.6979999999999</v>
      </c>
      <c r="J182" s="9">
        <v>2561.2179999999998</v>
      </c>
      <c r="K182" s="9">
        <v>4847.6710000000003</v>
      </c>
      <c r="L182" s="9">
        <v>3455.0450000000001</v>
      </c>
      <c r="N182" s="9">
        <f t="shared" ref="N182:P183" si="174">IFERROR(D182/M$68*1000,0)</f>
        <v>3169.0893169877404</v>
      </c>
      <c r="O182" s="9">
        <f t="shared" si="174"/>
        <v>2844.8778591330265</v>
      </c>
      <c r="P182" s="9">
        <f t="shared" si="174"/>
        <v>7267.386253630204</v>
      </c>
      <c r="Q182" s="9">
        <f>IFERROR(G182/Q$68*1000,0)</f>
        <v>6179.1530212547359</v>
      </c>
      <c r="R182" s="9">
        <f t="shared" ref="R182:V183" si="175">IFERROR(H182/R$68*1000,0)</f>
        <v>12278.016119421707</v>
      </c>
      <c r="S182" s="9">
        <f t="shared" si="175"/>
        <v>8685.1021976333159</v>
      </c>
      <c r="T182" s="9">
        <f t="shared" si="175"/>
        <v>7293.3849702423322</v>
      </c>
      <c r="U182" s="9">
        <f t="shared" si="175"/>
        <v>13804.342626078538</v>
      </c>
      <c r="V182" s="9">
        <f t="shared" si="175"/>
        <v>9636.9658596452082</v>
      </c>
      <c r="W182" s="294"/>
    </row>
    <row r="183" spans="2:23" x14ac:dyDescent="0.3">
      <c r="B183" s="50" t="s">
        <v>258</v>
      </c>
      <c r="C183" s="8"/>
      <c r="D183" s="9">
        <v>0</v>
      </c>
      <c r="E183" s="9">
        <v>0</v>
      </c>
      <c r="F183" s="9">
        <v>0</v>
      </c>
      <c r="G183" s="9">
        <v>-1.5029999999999999</v>
      </c>
      <c r="H183" s="9">
        <v>-6.6509999999999998</v>
      </c>
      <c r="I183" s="9">
        <v>-6.2270000000000003</v>
      </c>
      <c r="J183" s="9">
        <v>0</v>
      </c>
      <c r="K183" s="9">
        <v>45.914000000000001</v>
      </c>
      <c r="L183" s="9">
        <v>10.731999999999999</v>
      </c>
      <c r="N183" s="9">
        <f t="shared" si="174"/>
        <v>0</v>
      </c>
      <c r="O183" s="9">
        <f t="shared" si="174"/>
        <v>0</v>
      </c>
      <c r="P183" s="9">
        <f t="shared" si="174"/>
        <v>0</v>
      </c>
      <c r="Q183" s="9">
        <f>IFERROR(G183/Q$68*1000,0)</f>
        <v>-4.8256597958004246</v>
      </c>
      <c r="R183" s="9">
        <f t="shared" si="175"/>
        <v>-20.858029918148461</v>
      </c>
      <c r="S183" s="9">
        <f t="shared" si="175"/>
        <v>-19.139388351006609</v>
      </c>
      <c r="T183" s="9">
        <f t="shared" si="175"/>
        <v>0</v>
      </c>
      <c r="U183" s="9">
        <f t="shared" si="175"/>
        <v>130.74579263604522</v>
      </c>
      <c r="V183" s="9">
        <f t="shared" si="175"/>
        <v>29.934173825727992</v>
      </c>
      <c r="W183" s="294"/>
    </row>
    <row r="184" spans="2:23" ht="15" thickBot="1" x14ac:dyDescent="0.35">
      <c r="B184" s="59" t="s">
        <v>259</v>
      </c>
      <c r="C184" s="60" t="s">
        <v>260</v>
      </c>
      <c r="D184" s="61">
        <f t="shared" ref="D184:F184" si="176">+D181+D182+D183</f>
        <v>878.0999999999998</v>
      </c>
      <c r="E184" s="61">
        <f t="shared" si="176"/>
        <v>2252.181</v>
      </c>
      <c r="F184" s="61">
        <f t="shared" si="176"/>
        <v>1924.5589999999997</v>
      </c>
      <c r="G184" s="61">
        <f t="shared" ref="G184:L184" si="177">+G181+G182+G183</f>
        <v>3915.0899999999992</v>
      </c>
      <c r="H184" s="61">
        <f t="shared" si="177"/>
        <v>2988.152</v>
      </c>
      <c r="I184" s="61">
        <f t="shared" si="177"/>
        <v>2548.7643629999998</v>
      </c>
      <c r="J184" s="61">
        <f t="shared" si="177"/>
        <v>4847.6705459999957</v>
      </c>
      <c r="K184" s="61">
        <f t="shared" si="177"/>
        <v>3455.0454635262408</v>
      </c>
      <c r="L184" s="61">
        <f t="shared" si="177"/>
        <v>3679.2530000000024</v>
      </c>
      <c r="N184" s="61">
        <f t="shared" ref="N184" si="178">+N181+N182+N183</f>
        <v>2957.3622524585739</v>
      </c>
      <c r="O184" s="61">
        <f t="shared" ref="O184" si="179">+O181+O182+O183</f>
        <v>7296.6403162055321</v>
      </c>
      <c r="P184" s="61">
        <f t="shared" ref="P184" si="180">+P181+P182+P183</f>
        <v>6210.2581477896083</v>
      </c>
      <c r="Q184" s="61">
        <f>+Q181+Q182+Q183</f>
        <v>12570.121363899054</v>
      </c>
      <c r="R184" s="61">
        <f t="shared" ref="R184:V184" si="181">+R181+R182+R183</f>
        <v>9371.0665788565839</v>
      </c>
      <c r="S184" s="61">
        <f t="shared" si="181"/>
        <v>7833.9153619179342</v>
      </c>
      <c r="T184" s="61">
        <f t="shared" si="181"/>
        <v>13804.341333257387</v>
      </c>
      <c r="U184" s="61">
        <f t="shared" si="181"/>
        <v>9838.6692016010475</v>
      </c>
      <c r="V184" s="61">
        <f t="shared" si="181"/>
        <v>10262.336829186659</v>
      </c>
      <c r="W184" s="294"/>
    </row>
  </sheetData>
  <mergeCells count="2">
    <mergeCell ref="D2:H2"/>
    <mergeCell ref="M2:Q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B84A-AA83-4A05-8D18-814F868FC511}">
  <dimension ref="A1:P141"/>
  <sheetViews>
    <sheetView topLeftCell="A21" zoomScaleNormal="100" workbookViewId="0">
      <selection activeCell="I42" sqref="I42"/>
    </sheetView>
  </sheetViews>
  <sheetFormatPr defaultColWidth="8.77734375" defaultRowHeight="14.4" x14ac:dyDescent="0.3"/>
  <cols>
    <col min="2" max="3" width="36.44140625" style="90" customWidth="1"/>
    <col min="4" max="4" width="13.33203125" customWidth="1"/>
    <col min="5" max="5" width="13.6640625" customWidth="1"/>
    <col min="6" max="8" width="14" customWidth="1"/>
    <col min="9" max="9" width="13.44140625" customWidth="1"/>
    <col min="11" max="11" width="12.33203125" customWidth="1"/>
    <col min="12" max="12" width="13.6640625" style="106" customWidth="1"/>
    <col min="13" max="14" width="13.33203125" style="106" bestFit="1" customWidth="1"/>
    <col min="15" max="15" width="10.77734375" customWidth="1"/>
    <col min="16" max="16" width="9.77734375" bestFit="1" customWidth="1"/>
  </cols>
  <sheetData>
    <row r="1" spans="2:15" ht="18" x14ac:dyDescent="0.35">
      <c r="K1" s="419" t="s">
        <v>290</v>
      </c>
      <c r="L1" s="419"/>
    </row>
    <row r="2" spans="2:15" x14ac:dyDescent="0.3">
      <c r="J2" t="s">
        <v>320</v>
      </c>
      <c r="K2" s="188">
        <v>309.45999999999998</v>
      </c>
      <c r="L2" s="186">
        <v>314.08</v>
      </c>
      <c r="M2" s="187">
        <v>320.57</v>
      </c>
      <c r="N2" s="187">
        <v>345.15</v>
      </c>
      <c r="O2" s="187">
        <v>354.75</v>
      </c>
    </row>
    <row r="3" spans="2:15" x14ac:dyDescent="0.3">
      <c r="B3" s="91" t="s">
        <v>165</v>
      </c>
      <c r="C3" s="91" t="s">
        <v>166</v>
      </c>
      <c r="D3" s="101" t="s">
        <v>168</v>
      </c>
      <c r="E3" s="101" t="s">
        <v>140</v>
      </c>
      <c r="F3" s="101" t="s">
        <v>282</v>
      </c>
      <c r="G3" s="101" t="s">
        <v>406</v>
      </c>
      <c r="H3" s="101" t="s">
        <v>465</v>
      </c>
      <c r="K3" s="3" t="s">
        <v>168</v>
      </c>
      <c r="L3" s="101" t="s">
        <v>140</v>
      </c>
      <c r="M3" s="101" t="s">
        <v>282</v>
      </c>
      <c r="N3" s="101" t="s">
        <v>406</v>
      </c>
      <c r="O3" s="101" t="s">
        <v>465</v>
      </c>
    </row>
    <row r="4" spans="2:15" x14ac:dyDescent="0.3">
      <c r="B4" s="91"/>
      <c r="C4" s="91"/>
      <c r="D4" s="135" t="s">
        <v>170</v>
      </c>
      <c r="E4" s="135" t="s">
        <v>170</v>
      </c>
      <c r="F4" s="135" t="s">
        <v>170</v>
      </c>
      <c r="G4" s="135" t="s">
        <v>170</v>
      </c>
      <c r="H4" s="135" t="s">
        <v>170</v>
      </c>
      <c r="K4" s="136" t="s">
        <v>180</v>
      </c>
      <c r="L4" s="101" t="s">
        <v>180</v>
      </c>
      <c r="M4" s="135" t="s">
        <v>180</v>
      </c>
      <c r="N4" s="135" t="s">
        <v>180</v>
      </c>
      <c r="O4" s="135" t="s">
        <v>180</v>
      </c>
    </row>
    <row r="5" spans="2:15" ht="14.55" customHeight="1" x14ac:dyDescent="0.3">
      <c r="B5" s="92" t="s">
        <v>97</v>
      </c>
      <c r="C5" s="92" t="s">
        <v>141</v>
      </c>
      <c r="D5" s="107">
        <v>8634.77</v>
      </c>
      <c r="E5" s="102">
        <v>9276.6434790000003</v>
      </c>
      <c r="F5" s="107">
        <v>12141.442588</v>
      </c>
      <c r="G5" s="102">
        <v>16163.527</v>
      </c>
      <c r="H5" s="107">
        <v>19781</v>
      </c>
      <c r="K5" s="131">
        <f t="shared" ref="K5:K15" si="0">+D5/K$2*1000</f>
        <v>27902.701479997417</v>
      </c>
      <c r="L5" s="102">
        <f t="shared" ref="L5:L15" si="1">+E5/L$2*1000</f>
        <v>29535.925493504841</v>
      </c>
      <c r="M5" s="107">
        <f t="shared" ref="M5:M15" si="2">+F5/M$2*1000</f>
        <v>37874.544055900427</v>
      </c>
      <c r="N5" s="107">
        <f t="shared" ref="N5:O15" si="3">+G5/N$2*1000</f>
        <v>46830.441836882521</v>
      </c>
      <c r="O5" s="107">
        <f t="shared" si="3"/>
        <v>55760.394644115571</v>
      </c>
    </row>
    <row r="6" spans="2:15" x14ac:dyDescent="0.3">
      <c r="B6" s="93" t="s">
        <v>169</v>
      </c>
      <c r="C6" s="93" t="s">
        <v>142</v>
      </c>
      <c r="D6" s="108">
        <v>-6551.1670000000004</v>
      </c>
      <c r="E6" s="103">
        <v>-7213.7795980000001</v>
      </c>
      <c r="F6" s="108">
        <v>-8379.8780210000004</v>
      </c>
      <c r="G6" s="103">
        <v>-10936.562</v>
      </c>
      <c r="H6" s="108">
        <v>-10983</v>
      </c>
      <c r="K6" s="132">
        <f t="shared" si="0"/>
        <v>-21169.672978737159</v>
      </c>
      <c r="L6" s="103">
        <f t="shared" si="1"/>
        <v>-22967.968664034644</v>
      </c>
      <c r="M6" s="108">
        <f t="shared" si="2"/>
        <v>-26140.555950338465</v>
      </c>
      <c r="N6" s="108">
        <f t="shared" si="3"/>
        <v>-31686.403013182677</v>
      </c>
      <c r="O6" s="108">
        <f t="shared" si="3"/>
        <v>-30959.83086680761</v>
      </c>
    </row>
    <row r="7" spans="2:15" x14ac:dyDescent="0.3">
      <c r="B7" s="94" t="s">
        <v>143</v>
      </c>
      <c r="C7" s="94" t="s">
        <v>144</v>
      </c>
      <c r="D7" s="109">
        <v>-1107.2819999999999</v>
      </c>
      <c r="E7" s="104">
        <v>-1245.3993559999999</v>
      </c>
      <c r="F7" s="109">
        <v>-1290.5134969999999</v>
      </c>
      <c r="G7" s="104">
        <v>-1557.479</v>
      </c>
      <c r="H7" s="109">
        <v>-2189</v>
      </c>
      <c r="K7" s="133">
        <f t="shared" si="0"/>
        <v>-3578.1102565759711</v>
      </c>
      <c r="L7" s="104">
        <f t="shared" si="1"/>
        <v>-3965.2297376464594</v>
      </c>
      <c r="M7" s="109">
        <f t="shared" si="2"/>
        <v>-4025.6839286271324</v>
      </c>
      <c r="N7" s="109">
        <f t="shared" si="3"/>
        <v>-4512.4699406055342</v>
      </c>
      <c r="O7" s="109">
        <f t="shared" si="3"/>
        <v>-6170.5426356589151</v>
      </c>
    </row>
    <row r="8" spans="2:15" x14ac:dyDescent="0.3">
      <c r="B8" s="94" t="s">
        <v>145</v>
      </c>
      <c r="C8" s="94" t="s">
        <v>146</v>
      </c>
      <c r="D8" s="109">
        <v>-284.24700000000001</v>
      </c>
      <c r="E8" s="104">
        <v>-336.25823700000001</v>
      </c>
      <c r="F8" s="109">
        <v>-908.34394999999995</v>
      </c>
      <c r="G8" s="104">
        <v>-1303.088</v>
      </c>
      <c r="H8" s="109">
        <v>-2187</v>
      </c>
      <c r="K8" s="133">
        <f t="shared" si="0"/>
        <v>-918.52581916887493</v>
      </c>
      <c r="L8" s="104">
        <f t="shared" si="1"/>
        <v>-1070.6133373662763</v>
      </c>
      <c r="M8" s="109">
        <f t="shared" si="2"/>
        <v>-2833.5276226721153</v>
      </c>
      <c r="N8" s="109">
        <f t="shared" si="3"/>
        <v>-3775.4251774590762</v>
      </c>
      <c r="O8" s="109">
        <f t="shared" si="3"/>
        <v>-6164.9048625792811</v>
      </c>
    </row>
    <row r="9" spans="2:15" x14ac:dyDescent="0.3">
      <c r="B9" s="94" t="s">
        <v>107</v>
      </c>
      <c r="C9" s="94" t="s">
        <v>147</v>
      </c>
      <c r="D9" s="109">
        <v>287.04899999999998</v>
      </c>
      <c r="E9" s="104">
        <v>118.66872499999999</v>
      </c>
      <c r="F9" s="109">
        <v>-348.20757500000002</v>
      </c>
      <c r="G9" s="104">
        <v>-532.10900000000004</v>
      </c>
      <c r="H9" s="109">
        <v>-528</v>
      </c>
      <c r="K9" s="133">
        <f t="shared" si="0"/>
        <v>927.58030116977966</v>
      </c>
      <c r="L9" s="104">
        <f t="shared" si="1"/>
        <v>377.82961347427408</v>
      </c>
      <c r="M9" s="109">
        <f t="shared" si="2"/>
        <v>-1086.2138534485448</v>
      </c>
      <c r="N9" s="109">
        <f t="shared" si="3"/>
        <v>-1541.6746342170075</v>
      </c>
      <c r="O9" s="109">
        <f t="shared" si="3"/>
        <v>-1488.3720930232557</v>
      </c>
    </row>
    <row r="10" spans="2:15" x14ac:dyDescent="0.3">
      <c r="B10" s="94" t="s">
        <v>148</v>
      </c>
      <c r="C10" s="94" t="s">
        <v>149</v>
      </c>
      <c r="D10" s="109"/>
      <c r="E10" s="104">
        <v>-22.455480999999999</v>
      </c>
      <c r="F10" s="109">
        <v>-80.143831000000006</v>
      </c>
      <c r="G10" s="104">
        <v>-0.38100000000000001</v>
      </c>
      <c r="H10" s="109"/>
      <c r="K10" s="133">
        <f t="shared" si="0"/>
        <v>0</v>
      </c>
      <c r="L10" s="104">
        <f t="shared" si="1"/>
        <v>-71.496055145185935</v>
      </c>
      <c r="M10" s="109">
        <f t="shared" si="2"/>
        <v>-250.00415197928695</v>
      </c>
      <c r="N10" s="109">
        <f t="shared" si="3"/>
        <v>-1.1038678835289006</v>
      </c>
      <c r="O10" s="109">
        <f t="shared" si="3"/>
        <v>0</v>
      </c>
    </row>
    <row r="11" spans="2:15" x14ac:dyDescent="0.3">
      <c r="B11" s="25" t="s">
        <v>438</v>
      </c>
      <c r="C11" s="94" t="s">
        <v>418</v>
      </c>
      <c r="D11" s="109"/>
      <c r="E11" s="104"/>
      <c r="F11" s="109"/>
      <c r="G11" s="104"/>
      <c r="H11" s="109">
        <v>133</v>
      </c>
      <c r="K11" s="133"/>
      <c r="L11" s="104"/>
      <c r="M11" s="109"/>
      <c r="N11" s="109"/>
      <c r="O11" s="109"/>
    </row>
    <row r="12" spans="2:15" x14ac:dyDescent="0.3">
      <c r="B12" s="87" t="s">
        <v>150</v>
      </c>
      <c r="C12" s="87" t="s">
        <v>151</v>
      </c>
      <c r="D12" s="110">
        <f>SUM(D5:D10)</f>
        <v>979.12300000000005</v>
      </c>
      <c r="E12" s="84">
        <f>SUM(E5:E10)</f>
        <v>577.41953200000034</v>
      </c>
      <c r="F12" s="110">
        <f>SUM(F5:F10)</f>
        <v>1134.3557139999996</v>
      </c>
      <c r="G12" s="84">
        <f>SUM(G5:G11)</f>
        <v>1833.9080000000001</v>
      </c>
      <c r="H12" s="110">
        <f>SUM(H5:H11)</f>
        <v>4027</v>
      </c>
      <c r="K12" s="110">
        <f t="shared" si="0"/>
        <v>3163.9727266851942</v>
      </c>
      <c r="L12" s="84">
        <f t="shared" si="1"/>
        <v>1838.4473127865524</v>
      </c>
      <c r="M12" s="110">
        <f t="shared" si="2"/>
        <v>3538.5585488348866</v>
      </c>
      <c r="N12" s="110">
        <f t="shared" si="3"/>
        <v>5313.3652035346959</v>
      </c>
      <c r="O12" s="110">
        <f t="shared" si="3"/>
        <v>11351.656095842141</v>
      </c>
    </row>
    <row r="13" spans="2:15" x14ac:dyDescent="0.3">
      <c r="B13" s="94" t="s">
        <v>152</v>
      </c>
      <c r="C13" s="94" t="s">
        <v>153</v>
      </c>
      <c r="D13" s="109">
        <v>-176.41499999999999</v>
      </c>
      <c r="E13" s="104">
        <v>-25.957788999999998</v>
      </c>
      <c r="F13" s="109">
        <v>-361.33734099999998</v>
      </c>
      <c r="G13" s="104">
        <v>-312</v>
      </c>
      <c r="H13" s="109">
        <v>-565</v>
      </c>
      <c r="K13" s="133">
        <f t="shared" si="0"/>
        <v>-570.07367672720227</v>
      </c>
      <c r="L13" s="104">
        <f t="shared" si="1"/>
        <v>-82.647061258278143</v>
      </c>
      <c r="M13" s="109">
        <f t="shared" si="2"/>
        <v>-1127.1714165392893</v>
      </c>
      <c r="N13" s="109">
        <f t="shared" si="3"/>
        <v>-903.95480225988706</v>
      </c>
      <c r="O13" s="109">
        <f t="shared" si="3"/>
        <v>-1592.6708949964764</v>
      </c>
    </row>
    <row r="14" spans="2:15" x14ac:dyDescent="0.3">
      <c r="B14" s="88" t="s">
        <v>119</v>
      </c>
      <c r="C14" s="88" t="s">
        <v>154</v>
      </c>
      <c r="D14" s="110">
        <f>+D12+D13</f>
        <v>802.70800000000008</v>
      </c>
      <c r="E14" s="84">
        <f>+E12+E13</f>
        <v>551.4617430000003</v>
      </c>
      <c r="F14" s="110">
        <f>+F12+F13</f>
        <v>773.01837299999966</v>
      </c>
      <c r="G14" s="84">
        <f>+G12+G13</f>
        <v>1521.9080000000001</v>
      </c>
      <c r="H14" s="110">
        <f>+H12+H13</f>
        <v>3462</v>
      </c>
      <c r="K14" s="110">
        <f t="shared" si="0"/>
        <v>2593.8990499579918</v>
      </c>
      <c r="L14" s="84">
        <f t="shared" si="1"/>
        <v>1755.800251528274</v>
      </c>
      <c r="M14" s="110">
        <f t="shared" si="2"/>
        <v>2411.3871322955974</v>
      </c>
      <c r="N14" s="110">
        <f t="shared" si="3"/>
        <v>4409.4104012748085</v>
      </c>
      <c r="O14" s="110">
        <f t="shared" si="3"/>
        <v>9758.9852008456655</v>
      </c>
    </row>
    <row r="15" spans="2:15" x14ac:dyDescent="0.3">
      <c r="B15" s="94" t="s">
        <v>121</v>
      </c>
      <c r="C15" s="94" t="s">
        <v>155</v>
      </c>
      <c r="D15" s="109">
        <v>-215.85499999999999</v>
      </c>
      <c r="E15" s="104">
        <v>-200.574298</v>
      </c>
      <c r="F15" s="109">
        <v>-289.70930399999997</v>
      </c>
      <c r="G15" s="104">
        <v>-458</v>
      </c>
      <c r="H15" s="109">
        <v>-642</v>
      </c>
      <c r="K15" s="133">
        <f t="shared" si="0"/>
        <v>-697.52148904543401</v>
      </c>
      <c r="L15" s="104">
        <f t="shared" si="1"/>
        <v>-638.60894676515545</v>
      </c>
      <c r="M15" s="109">
        <f t="shared" si="2"/>
        <v>-903.73180272639354</v>
      </c>
      <c r="N15" s="109">
        <f t="shared" si="3"/>
        <v>-1326.9592930609881</v>
      </c>
      <c r="O15" s="109">
        <f t="shared" si="3"/>
        <v>-1809.7251585623678</v>
      </c>
    </row>
    <row r="16" spans="2:15" x14ac:dyDescent="0.3">
      <c r="B16" s="274" t="s">
        <v>410</v>
      </c>
      <c r="C16" s="275" t="s">
        <v>411</v>
      </c>
      <c r="D16" s="109"/>
      <c r="E16" s="104"/>
      <c r="F16" s="109"/>
      <c r="G16" s="104"/>
      <c r="H16" s="109"/>
      <c r="K16" s="133"/>
      <c r="L16" s="104"/>
      <c r="M16" s="109"/>
      <c r="N16" s="109"/>
      <c r="O16" s="109"/>
    </row>
    <row r="17" spans="2:15" ht="28.8" x14ac:dyDescent="0.3">
      <c r="B17" s="88" t="s">
        <v>123</v>
      </c>
      <c r="C17" s="88" t="s">
        <v>156</v>
      </c>
      <c r="D17" s="110">
        <f>+D14+D15</f>
        <v>586.85300000000007</v>
      </c>
      <c r="E17" s="84">
        <f>+E14+E15</f>
        <v>350.8874450000003</v>
      </c>
      <c r="F17" s="110">
        <f>+F14+F15</f>
        <v>483.30906899999968</v>
      </c>
      <c r="G17" s="84">
        <f>+G14+G15</f>
        <v>1063.9080000000001</v>
      </c>
      <c r="H17" s="110">
        <f>+H14+H15</f>
        <v>2820</v>
      </c>
      <c r="K17" s="110">
        <f t="shared" ref="K17:O24" si="4">+D17/K$2*1000</f>
        <v>1896.3775609125578</v>
      </c>
      <c r="L17" s="84">
        <f t="shared" si="4"/>
        <v>1117.1913047631188</v>
      </c>
      <c r="M17" s="110">
        <f t="shared" si="4"/>
        <v>1507.6553295692038</v>
      </c>
      <c r="N17" s="110">
        <f t="shared" si="4"/>
        <v>3082.451108213821</v>
      </c>
      <c r="O17" s="110">
        <f t="shared" si="4"/>
        <v>7949.2600422832984</v>
      </c>
    </row>
    <row r="18" spans="2:15" x14ac:dyDescent="0.3">
      <c r="B18" s="95" t="s">
        <v>125</v>
      </c>
      <c r="C18" s="94" t="s">
        <v>157</v>
      </c>
      <c r="D18" s="109">
        <v>588.32600000000002</v>
      </c>
      <c r="E18" s="104">
        <v>351.81632500000001</v>
      </c>
      <c r="F18" s="109">
        <v>483.57687199999998</v>
      </c>
      <c r="G18" s="104">
        <v>1062</v>
      </c>
      <c r="H18" s="109">
        <v>2818</v>
      </c>
      <c r="K18" s="133">
        <f t="shared" si="4"/>
        <v>1901.1374652620696</v>
      </c>
      <c r="L18" s="104">
        <f t="shared" si="4"/>
        <v>1120.1487678298522</v>
      </c>
      <c r="M18" s="109">
        <f t="shared" si="4"/>
        <v>1508.4907258945004</v>
      </c>
      <c r="N18" s="109">
        <f t="shared" si="4"/>
        <v>3076.9230769230771</v>
      </c>
      <c r="O18" s="109">
        <f t="shared" si="4"/>
        <v>7943.6222692036645</v>
      </c>
    </row>
    <row r="19" spans="2:15" ht="28.8" x14ac:dyDescent="0.3">
      <c r="B19" s="96" t="s">
        <v>158</v>
      </c>
      <c r="C19" s="96" t="s">
        <v>159</v>
      </c>
      <c r="D19" s="111">
        <v>-1.4730000000000001</v>
      </c>
      <c r="E19" s="105">
        <v>-0.92888000000000004</v>
      </c>
      <c r="F19" s="111">
        <v>-0.26780300000000001</v>
      </c>
      <c r="G19" s="105">
        <v>2</v>
      </c>
      <c r="H19" s="111">
        <v>2</v>
      </c>
      <c r="K19" s="134">
        <f t="shared" si="4"/>
        <v>-4.7599043495120537</v>
      </c>
      <c r="L19" s="105">
        <f t="shared" si="4"/>
        <v>-2.95746306673459</v>
      </c>
      <c r="M19" s="111">
        <f t="shared" si="4"/>
        <v>-0.8353963252955674</v>
      </c>
      <c r="N19" s="111">
        <f t="shared" si="4"/>
        <v>5.7945820657685063</v>
      </c>
      <c r="O19" s="111">
        <f t="shared" si="4"/>
        <v>5.6377730796335452</v>
      </c>
    </row>
    <row r="20" spans="2:15" ht="15" thickBot="1" x14ac:dyDescent="0.35">
      <c r="B20" s="94" t="s">
        <v>160</v>
      </c>
      <c r="C20" s="94" t="s">
        <v>161</v>
      </c>
      <c r="D20" s="109"/>
      <c r="E20" s="104">
        <v>-115.845702</v>
      </c>
      <c r="F20" s="109">
        <v>-1061.3122229999999</v>
      </c>
      <c r="G20" s="104">
        <v>772.60900000000004</v>
      </c>
      <c r="H20" s="109">
        <v>3043</v>
      </c>
      <c r="K20" s="133">
        <f t="shared" si="4"/>
        <v>0</v>
      </c>
      <c r="L20" s="104">
        <f t="shared" si="4"/>
        <v>-368.84138436067246</v>
      </c>
      <c r="M20" s="109">
        <f t="shared" si="4"/>
        <v>-3310.7035062544837</v>
      </c>
      <c r="N20" s="109">
        <f t="shared" si="4"/>
        <v>2238.4731276256703</v>
      </c>
      <c r="O20" s="109">
        <f t="shared" si="4"/>
        <v>8577.8717406624382</v>
      </c>
    </row>
    <row r="21" spans="2:15" ht="30" thickTop="1" thickBot="1" x14ac:dyDescent="0.35">
      <c r="B21" s="89" t="s">
        <v>132</v>
      </c>
      <c r="C21" s="89" t="s">
        <v>162</v>
      </c>
      <c r="D21" s="112">
        <f>+D17+D20</f>
        <v>586.85300000000007</v>
      </c>
      <c r="E21" s="85">
        <f>+E17+E20</f>
        <v>235.04174300000028</v>
      </c>
      <c r="F21" s="112">
        <f>+F17+F20</f>
        <v>-578.00315400000022</v>
      </c>
      <c r="G21" s="85">
        <f>+G17+G20</f>
        <v>1836.5170000000003</v>
      </c>
      <c r="H21" s="112">
        <f>+H17+H20</f>
        <v>5863</v>
      </c>
      <c r="K21" s="112">
        <f t="shared" si="4"/>
        <v>1896.3775609125578</v>
      </c>
      <c r="L21" s="85">
        <f t="shared" si="4"/>
        <v>748.34992040244617</v>
      </c>
      <c r="M21" s="112">
        <f t="shared" si="4"/>
        <v>-1803.0481766852802</v>
      </c>
      <c r="N21" s="112">
        <f t="shared" si="4"/>
        <v>5320.9242358394904</v>
      </c>
      <c r="O21" s="112">
        <f t="shared" si="4"/>
        <v>16527.131782945737</v>
      </c>
    </row>
    <row r="22" spans="2:15" ht="15" thickTop="1" x14ac:dyDescent="0.3">
      <c r="B22" s="94" t="s">
        <v>125</v>
      </c>
      <c r="C22" s="94" t="s">
        <v>157</v>
      </c>
      <c r="D22" s="109"/>
      <c r="E22" s="104">
        <v>235.97062299999999</v>
      </c>
      <c r="F22" s="109">
        <v>-577.73535100000004</v>
      </c>
      <c r="G22" s="104">
        <v>1835</v>
      </c>
      <c r="H22" s="109">
        <v>5861</v>
      </c>
      <c r="K22" s="133">
        <f t="shared" si="4"/>
        <v>0</v>
      </c>
      <c r="L22" s="104">
        <f t="shared" si="4"/>
        <v>751.30738346917985</v>
      </c>
      <c r="M22" s="109">
        <f t="shared" si="4"/>
        <v>-1802.212780359984</v>
      </c>
      <c r="N22" s="109">
        <f t="shared" si="4"/>
        <v>5316.5290453426051</v>
      </c>
      <c r="O22" s="109">
        <f t="shared" si="4"/>
        <v>16521.494009866103</v>
      </c>
    </row>
    <row r="23" spans="2:15" ht="29.4" thickBot="1" x14ac:dyDescent="0.35">
      <c r="B23" s="94" t="s">
        <v>158</v>
      </c>
      <c r="C23" s="96" t="s">
        <v>159</v>
      </c>
      <c r="D23" s="109"/>
      <c r="E23" s="104">
        <v>-0.92888000000000004</v>
      </c>
      <c r="F23" s="109">
        <v>-0.26780300000000001</v>
      </c>
      <c r="G23" s="104">
        <v>2</v>
      </c>
      <c r="H23" s="109">
        <v>2</v>
      </c>
      <c r="K23" s="133">
        <f t="shared" si="4"/>
        <v>0</v>
      </c>
      <c r="L23" s="104">
        <f t="shared" si="4"/>
        <v>-2.95746306673459</v>
      </c>
      <c r="M23" s="109">
        <f t="shared" si="4"/>
        <v>-0.8353963252955674</v>
      </c>
      <c r="N23" s="109">
        <f t="shared" si="4"/>
        <v>5.7945820657685063</v>
      </c>
      <c r="O23" s="109">
        <f t="shared" si="4"/>
        <v>5.6377730796335452</v>
      </c>
    </row>
    <row r="24" spans="2:15" ht="15.6" thickTop="1" thickBot="1" x14ac:dyDescent="0.35">
      <c r="B24" s="89" t="s">
        <v>139</v>
      </c>
      <c r="C24" s="89" t="s">
        <v>139</v>
      </c>
      <c r="D24" s="112">
        <f>+D12-D10-D8</f>
        <v>1263.3700000000001</v>
      </c>
      <c r="E24" s="85">
        <f>+E12-E10-E8</f>
        <v>936.13325000000032</v>
      </c>
      <c r="F24" s="112">
        <f>+F12-F10-F8</f>
        <v>2122.8434949999996</v>
      </c>
      <c r="G24" s="85">
        <f>+G12-G10-G8</f>
        <v>3137.3770000000004</v>
      </c>
      <c r="H24" s="112">
        <v>6213</v>
      </c>
      <c r="K24" s="112">
        <f t="shared" si="4"/>
        <v>4082.4985458540687</v>
      </c>
      <c r="L24" s="85">
        <f t="shared" si="4"/>
        <v>2980.5567052980141</v>
      </c>
      <c r="M24" s="112">
        <f t="shared" si="4"/>
        <v>6622.090323486289</v>
      </c>
      <c r="N24" s="112">
        <f t="shared" si="4"/>
        <v>9089.8942488773027</v>
      </c>
      <c r="O24" s="112">
        <f t="shared" si="4"/>
        <v>17513.742071881607</v>
      </c>
    </row>
    <row r="25" spans="2:15" ht="15" thickTop="1" x14ac:dyDescent="0.3">
      <c r="D25" s="122"/>
      <c r="E25" s="106"/>
      <c r="F25" s="122"/>
      <c r="G25" s="122"/>
      <c r="O25" s="106"/>
    </row>
    <row r="26" spans="2:15" x14ac:dyDescent="0.3">
      <c r="D26" s="122"/>
      <c r="E26" s="106"/>
      <c r="F26" s="122"/>
      <c r="G26" s="122"/>
      <c r="H26" s="376"/>
      <c r="O26" s="106"/>
    </row>
    <row r="27" spans="2:15" ht="18" x14ac:dyDescent="0.35">
      <c r="H27" s="377"/>
      <c r="K27" s="419" t="s">
        <v>290</v>
      </c>
      <c r="L27" s="419"/>
      <c r="O27" s="106"/>
    </row>
    <row r="28" spans="2:15" x14ac:dyDescent="0.3">
      <c r="C28" s="271" t="s">
        <v>408</v>
      </c>
      <c r="H28" s="81"/>
      <c r="J28" t="s">
        <v>320</v>
      </c>
      <c r="K28" s="188">
        <v>308.97000000000003</v>
      </c>
      <c r="L28" s="186">
        <v>323.64999999999998</v>
      </c>
      <c r="M28" s="187"/>
      <c r="N28" s="187"/>
      <c r="O28" s="187"/>
    </row>
    <row r="29" spans="2:15" x14ac:dyDescent="0.3">
      <c r="B29" s="91" t="s">
        <v>165</v>
      </c>
      <c r="C29" s="91" t="s">
        <v>166</v>
      </c>
      <c r="D29" s="101" t="s">
        <v>287</v>
      </c>
      <c r="E29" s="101" t="s">
        <v>288</v>
      </c>
      <c r="F29" s="101" t="s">
        <v>289</v>
      </c>
      <c r="G29" s="101" t="s">
        <v>407</v>
      </c>
      <c r="H29" s="101" t="s">
        <v>470</v>
      </c>
      <c r="K29" s="3" t="s">
        <v>287</v>
      </c>
      <c r="L29" s="101" t="s">
        <v>288</v>
      </c>
      <c r="M29" s="101" t="s">
        <v>289</v>
      </c>
      <c r="N29" s="101" t="s">
        <v>407</v>
      </c>
      <c r="O29" s="101" t="s">
        <v>470</v>
      </c>
    </row>
    <row r="30" spans="2:15" x14ac:dyDescent="0.3">
      <c r="B30" s="91"/>
      <c r="C30" s="91"/>
      <c r="D30" s="135" t="s">
        <v>170</v>
      </c>
      <c r="E30" s="135" t="s">
        <v>170</v>
      </c>
      <c r="F30" s="135" t="s">
        <v>170</v>
      </c>
      <c r="G30" s="135" t="s">
        <v>170</v>
      </c>
      <c r="H30" s="135" t="s">
        <v>170</v>
      </c>
      <c r="K30" s="136" t="s">
        <v>180</v>
      </c>
      <c r="L30" s="101" t="s">
        <v>180</v>
      </c>
      <c r="M30" s="135" t="s">
        <v>180</v>
      </c>
      <c r="N30" s="135" t="s">
        <v>180</v>
      </c>
      <c r="O30" s="135" t="s">
        <v>180</v>
      </c>
    </row>
    <row r="31" spans="2:15" x14ac:dyDescent="0.3">
      <c r="B31" s="92" t="s">
        <v>97</v>
      </c>
      <c r="C31" s="92" t="s">
        <v>141</v>
      </c>
      <c r="D31" s="107">
        <f>'éves P&amp;L_mérleg'!H71-'féléves P&amp;L_mérleg'!D5</f>
        <v>9754.5142699999997</v>
      </c>
      <c r="E31" s="102">
        <f>'éves P&amp;L_mérleg'!I71-'féléves P&amp;L_mérleg'!E5</f>
        <v>9409.1235209999995</v>
      </c>
      <c r="F31" s="107">
        <f>'éves P&amp;L_mérleg'!J71-'féléves P&amp;L_mérleg'!F5</f>
        <v>13431.907663</v>
      </c>
      <c r="G31" s="102">
        <f>'éves P&amp;L_mérleg'!K71-'féléves P&amp;L_mérleg'!G5</f>
        <v>16817.773999999998</v>
      </c>
      <c r="H31" s="102">
        <f>'éves P&amp;L_mérleg'!L71-'féléves P&amp;L_mérleg'!H5</f>
        <v>24468.447999999997</v>
      </c>
      <c r="K31" s="131">
        <f t="shared" ref="K31:K48" si="5">+D31/K$2*1000</f>
        <v>31521.082757060685</v>
      </c>
      <c r="L31" s="102">
        <f t="shared" ref="L31:L48" si="6">+E31/L$2*1000</f>
        <v>29957.728989429444</v>
      </c>
      <c r="M31" s="107">
        <f>+F31/'éves P&amp;L_mérleg'!S$3*1000</f>
        <v>41777.573521818915</v>
      </c>
      <c r="N31" s="107">
        <f>+G31/N$2*1000</f>
        <v>48725.985803273936</v>
      </c>
      <c r="O31" s="107">
        <f>+H31/O$2*1000</f>
        <v>68973.778717406618</v>
      </c>
    </row>
    <row r="32" spans="2:15" x14ac:dyDescent="0.3">
      <c r="B32" s="93" t="s">
        <v>169</v>
      </c>
      <c r="C32" s="93" t="s">
        <v>142</v>
      </c>
      <c r="D32" s="108">
        <f>'éves P&amp;L_mérleg'!H72-'féléves P&amp;L_mérleg'!D6</f>
        <v>-8055.2179829999995</v>
      </c>
      <c r="E32" s="103">
        <f>'éves P&amp;L_mérleg'!I72-'féléves P&amp;L_mérleg'!E6</f>
        <v>-7050.5744019999993</v>
      </c>
      <c r="F32" s="108">
        <f>'éves P&amp;L_mérleg'!J72-'féléves P&amp;L_mérleg'!F6</f>
        <v>-9831.9897329999985</v>
      </c>
      <c r="G32" s="103">
        <f>'éves P&amp;L_mérleg'!K72-'féléves P&amp;L_mérleg'!G6</f>
        <v>-12135.867</v>
      </c>
      <c r="H32" s="102">
        <f>'éves P&amp;L_mérleg'!L72-'féléves P&amp;L_mérleg'!H6</f>
        <v>-14641.444</v>
      </c>
      <c r="K32" s="132">
        <f t="shared" si="5"/>
        <v>-26029.916574032184</v>
      </c>
      <c r="L32" s="103">
        <f t="shared" si="6"/>
        <v>-22448.339282985227</v>
      </c>
      <c r="M32" s="108">
        <f>+F32/'éves P&amp;L_mérleg'!S$3*1000</f>
        <v>-30580.665400765134</v>
      </c>
      <c r="N32" s="108">
        <f t="shared" ref="N32:N48" si="7">+G32/N$2*1000</f>
        <v>-35161.13863537593</v>
      </c>
      <c r="O32" s="107">
        <f t="shared" ref="O32:O48" si="8">+H32/O$2*1000</f>
        <v>-41272.569415081045</v>
      </c>
    </row>
    <row r="33" spans="2:15" x14ac:dyDescent="0.3">
      <c r="B33" s="94" t="s">
        <v>143</v>
      </c>
      <c r="C33" s="94" t="s">
        <v>144</v>
      </c>
      <c r="D33" s="109">
        <f>'éves P&amp;L_mérleg'!H73-'féléves P&amp;L_mérleg'!D7</f>
        <v>-1046.6405560000001</v>
      </c>
      <c r="E33" s="104">
        <f>'éves P&amp;L_mérleg'!I73-'féléves P&amp;L_mérleg'!E7</f>
        <v>-1261.1346440000002</v>
      </c>
      <c r="F33" s="109">
        <f>'éves P&amp;L_mérleg'!J73-'féléves P&amp;L_mérleg'!F7</f>
        <v>-1567.6506150000005</v>
      </c>
      <c r="G33" s="104">
        <f>'éves P&amp;L_mérleg'!K73-'féléves P&amp;L_mérleg'!G7</f>
        <v>-2212.5609999999997</v>
      </c>
      <c r="H33" s="102">
        <f>'éves P&amp;L_mérleg'!L73-'féléves P&amp;L_mérleg'!H7</f>
        <v>-2003.2370000000001</v>
      </c>
      <c r="K33" s="133">
        <f t="shared" si="5"/>
        <v>-3382.1513475085635</v>
      </c>
      <c r="L33" s="104">
        <f t="shared" si="6"/>
        <v>-4015.3293555781975</v>
      </c>
      <c r="M33" s="109">
        <f>+F33/'éves P&amp;L_mérleg'!S$3*1000</f>
        <v>-4875.9000186619414</v>
      </c>
      <c r="N33" s="109">
        <f t="shared" si="7"/>
        <v>-6410.4331450094151</v>
      </c>
      <c r="O33" s="107">
        <f t="shared" si="8"/>
        <v>-5646.8978153629323</v>
      </c>
    </row>
    <row r="34" spans="2:15" x14ac:dyDescent="0.3">
      <c r="B34" s="94" t="s">
        <v>145</v>
      </c>
      <c r="C34" s="94" t="s">
        <v>146</v>
      </c>
      <c r="D34" s="109">
        <f>'éves P&amp;L_mérleg'!H74-'féléves P&amp;L_mérleg'!D8</f>
        <v>-287.41808499999996</v>
      </c>
      <c r="E34" s="104">
        <f>'éves P&amp;L_mérleg'!I74-'féléves P&amp;L_mérleg'!E8</f>
        <v>-393.55976299999998</v>
      </c>
      <c r="F34" s="109">
        <f>'éves P&amp;L_mérleg'!J74-'féléves P&amp;L_mérleg'!F8</f>
        <v>-1137.4078079999999</v>
      </c>
      <c r="G34" s="104">
        <f>'éves P&amp;L_mérleg'!K74-'féléves P&amp;L_mérleg'!G8</f>
        <v>-1555.4350000000002</v>
      </c>
      <c r="H34" s="102">
        <f>'éves P&amp;L_mérleg'!L74-'féléves P&amp;L_mérleg'!H8</f>
        <v>-1749.6689999999999</v>
      </c>
      <c r="K34" s="133">
        <f t="shared" si="5"/>
        <v>-928.77297550571961</v>
      </c>
      <c r="L34" s="104">
        <f t="shared" si="6"/>
        <v>-1253.0557915180843</v>
      </c>
      <c r="M34" s="109">
        <f>+F34/'éves P&amp;L_mérleg'!S$3*1000</f>
        <v>-3537.7058505178688</v>
      </c>
      <c r="N34" s="109">
        <f t="shared" si="7"/>
        <v>-4506.5478777343196</v>
      </c>
      <c r="O34" s="107">
        <f t="shared" si="8"/>
        <v>-4932.1183932346712</v>
      </c>
    </row>
    <row r="35" spans="2:15" x14ac:dyDescent="0.3">
      <c r="B35" s="94" t="s">
        <v>107</v>
      </c>
      <c r="C35" s="94" t="s">
        <v>147</v>
      </c>
      <c r="D35" s="109">
        <f>'éves P&amp;L_mérleg'!H75-'féléves P&amp;L_mérleg'!D9</f>
        <v>18.927790000000016</v>
      </c>
      <c r="E35" s="104">
        <f>'éves P&amp;L_mérleg'!I75-'féléves P&amp;L_mérleg'!E9</f>
        <v>-265.50372500000003</v>
      </c>
      <c r="F35" s="109">
        <f>'éves P&amp;L_mérleg'!J75-'féléves P&amp;L_mérleg'!F9</f>
        <v>-456.07374499999992</v>
      </c>
      <c r="G35" s="104">
        <f>'éves P&amp;L_mérleg'!K75-'féléves P&amp;L_mérleg'!G9</f>
        <v>-695.90899999999999</v>
      </c>
      <c r="H35" s="102">
        <f>'éves P&amp;L_mérleg'!L75-'féléves P&amp;L_mérleg'!H9</f>
        <v>-1267.605</v>
      </c>
      <c r="K35" s="133">
        <f t="shared" si="5"/>
        <v>61.163930718025</v>
      </c>
      <c r="L35" s="104">
        <f t="shared" si="6"/>
        <v>-845.33789161996958</v>
      </c>
      <c r="M35" s="109">
        <f>+F35/'éves P&amp;L_mérleg'!S$3*1000</f>
        <v>-1418.5367329165499</v>
      </c>
      <c r="N35" s="109">
        <f t="shared" si="7"/>
        <v>-2016.2509054034481</v>
      </c>
      <c r="O35" s="107">
        <f t="shared" si="8"/>
        <v>-3573.2346723044398</v>
      </c>
    </row>
    <row r="36" spans="2:15" x14ac:dyDescent="0.3">
      <c r="B36" s="94" t="s">
        <v>148</v>
      </c>
      <c r="C36" s="94" t="s">
        <v>149</v>
      </c>
      <c r="D36" s="109">
        <f>'éves P&amp;L_mérleg'!H76-'féléves P&amp;L_mérleg'!D10</f>
        <v>-1.35</v>
      </c>
      <c r="E36" s="104">
        <f>'éves P&amp;L_mérleg'!I76-'féléves P&amp;L_mérleg'!E10</f>
        <v>22.455480999999999</v>
      </c>
      <c r="F36" s="109">
        <f>'éves P&amp;L_mérleg'!J76-'féléves P&amp;L_mérleg'!F10</f>
        <v>80.143831000000006</v>
      </c>
      <c r="G36" s="104">
        <f>'éves P&amp;L_mérleg'!K76-'féléves P&amp;L_mérleg'!G10</f>
        <v>0.38100000000000001</v>
      </c>
      <c r="H36" s="102">
        <f>'éves P&amp;L_mérleg'!L76-'féléves P&amp;L_mérleg'!H10</f>
        <v>0</v>
      </c>
      <c r="K36" s="133">
        <f t="shared" si="5"/>
        <v>-4.3624377948684812</v>
      </c>
      <c r="L36" s="104">
        <f t="shared" si="6"/>
        <v>71.496055145185935</v>
      </c>
      <c r="M36" s="109">
        <f>+F36/'éves P&amp;L_mérleg'!S$3*1000</f>
        <v>249.27321389692392</v>
      </c>
      <c r="N36" s="109">
        <f t="shared" si="7"/>
        <v>1.1038678835289006</v>
      </c>
      <c r="O36" s="107">
        <f t="shared" si="8"/>
        <v>0</v>
      </c>
    </row>
    <row r="37" spans="2:15" x14ac:dyDescent="0.3">
      <c r="B37" s="87" t="s">
        <v>150</v>
      </c>
      <c r="C37" s="87" t="s">
        <v>151</v>
      </c>
      <c r="D37" s="110">
        <f>'éves P&amp;L_mérleg'!H78-'féléves P&amp;L_mérleg'!D12</f>
        <v>382.81543600000009</v>
      </c>
      <c r="E37" s="84">
        <f>'éves P&amp;L_mérleg'!I78-'féléves P&amp;L_mérleg'!E12</f>
        <v>460.806468</v>
      </c>
      <c r="F37" s="110">
        <f>'éves P&amp;L_mérleg'!J78-'féléves P&amp;L_mérleg'!F12</f>
        <v>518.92959300000098</v>
      </c>
      <c r="G37" s="84">
        <f>'éves P&amp;L_mérleg'!K78-'féléves P&amp;L_mérleg'!G12</f>
        <v>730.60899999999924</v>
      </c>
      <c r="H37" s="102">
        <f>'éves P&amp;L_mérleg'!L78-'féléves P&amp;L_mérleg'!H12</f>
        <v>4916.3189999999959</v>
      </c>
      <c r="K37" s="110">
        <f t="shared" si="5"/>
        <v>1237.0433529373752</v>
      </c>
      <c r="L37" s="84">
        <f t="shared" si="6"/>
        <v>1467.1627228731534</v>
      </c>
      <c r="M37" s="110">
        <f>+F37/'éves P&amp;L_mérleg'!S$3*1000</f>
        <v>1614.0387328543466</v>
      </c>
      <c r="N37" s="110">
        <f t="shared" si="7"/>
        <v>2116.7869042445295</v>
      </c>
      <c r="O37" s="107">
        <f t="shared" si="8"/>
        <v>13858.545454545443</v>
      </c>
    </row>
    <row r="38" spans="2:15" x14ac:dyDescent="0.3">
      <c r="B38" s="94" t="s">
        <v>152</v>
      </c>
      <c r="C38" s="94" t="s">
        <v>153</v>
      </c>
      <c r="D38" s="109">
        <f>'éves P&amp;L_mérleg'!H79-'féléves P&amp;L_mérleg'!D13</f>
        <v>-152.69403100000002</v>
      </c>
      <c r="E38" s="104">
        <f>'éves P&amp;L_mérleg'!I79-'féléves P&amp;L_mérleg'!E13</f>
        <v>-206.37521100000001</v>
      </c>
      <c r="F38" s="109">
        <f>'éves P&amp;L_mérleg'!J79-'féléves P&amp;L_mérleg'!F13</f>
        <v>-582.48294899999996</v>
      </c>
      <c r="G38" s="104">
        <f>'éves P&amp;L_mérleg'!K79-'féléves P&amp;L_mérleg'!G13</f>
        <v>-778.31600000000003</v>
      </c>
      <c r="H38" s="102">
        <f>'éves P&amp;L_mérleg'!L79-'féléves P&amp;L_mérleg'!H13</f>
        <v>-1306.0509999999999</v>
      </c>
      <c r="K38" s="133">
        <f t="shared" si="5"/>
        <v>-493.4208976927552</v>
      </c>
      <c r="L38" s="104">
        <f t="shared" si="6"/>
        <v>-657.07848637289862</v>
      </c>
      <c r="M38" s="109">
        <f>+F38/'éves P&amp;L_mérleg'!S$3*1000</f>
        <v>-1811.7102080806196</v>
      </c>
      <c r="N38" s="109">
        <f t="shared" si="7"/>
        <v>-2255.0079675503407</v>
      </c>
      <c r="O38" s="107">
        <f t="shared" si="8"/>
        <v>-3681.6095842142349</v>
      </c>
    </row>
    <row r="39" spans="2:15" x14ac:dyDescent="0.3">
      <c r="B39" s="88" t="s">
        <v>119</v>
      </c>
      <c r="C39" s="88" t="s">
        <v>154</v>
      </c>
      <c r="D39" s="110">
        <f>'éves P&amp;L_mérleg'!H80-'féléves P&amp;L_mérleg'!D14</f>
        <v>230.1214050000001</v>
      </c>
      <c r="E39" s="84">
        <f>'éves P&amp;L_mérleg'!I80-'féléves P&amp;L_mérleg'!E14</f>
        <v>254.43125700000007</v>
      </c>
      <c r="F39" s="110">
        <f>'éves P&amp;L_mérleg'!J80-'féléves P&amp;L_mérleg'!F14</f>
        <v>-63.553355999999098</v>
      </c>
      <c r="G39" s="84">
        <f>'éves P&amp;L_mérleg'!K80-'féléves P&amp;L_mérleg'!G14</f>
        <v>-47.707000000000789</v>
      </c>
      <c r="H39" s="102">
        <f>'éves P&amp;L_mérleg'!L80-'féléves P&amp;L_mérleg'!H14</f>
        <v>3610.2679999999964</v>
      </c>
      <c r="K39" s="110">
        <f t="shared" si="5"/>
        <v>743.62245524462003</v>
      </c>
      <c r="L39" s="84">
        <f t="shared" si="6"/>
        <v>810.08423650025497</v>
      </c>
      <c r="M39" s="110">
        <f>+F39/'éves P&amp;L_mérleg'!S$3*1000</f>
        <v>-197.6714752262732</v>
      </c>
      <c r="N39" s="110">
        <f t="shared" si="7"/>
        <v>-138.22106330581136</v>
      </c>
      <c r="O39" s="107">
        <f t="shared" si="8"/>
        <v>10176.935870331208</v>
      </c>
    </row>
    <row r="40" spans="2:15" x14ac:dyDescent="0.3">
      <c r="B40" s="94" t="s">
        <v>121</v>
      </c>
      <c r="C40" s="94" t="s">
        <v>155</v>
      </c>
      <c r="D40" s="109">
        <f>'éves P&amp;L_mérleg'!H81-'féléves P&amp;L_mérleg'!D15</f>
        <v>97.980283999999983</v>
      </c>
      <c r="E40" s="182">
        <f>'éves P&amp;L_mérleg'!I81-'féléves P&amp;L_mérleg'!E15</f>
        <v>-75.239702000000023</v>
      </c>
      <c r="F40" s="109">
        <f>'éves P&amp;L_mérleg'!J81-'féléves P&amp;L_mérleg'!F15</f>
        <v>-146.12516700000003</v>
      </c>
      <c r="G40" s="182">
        <f>'éves P&amp;L_mérleg'!K81-'féléves P&amp;L_mérleg'!G15</f>
        <v>-425.65999999999997</v>
      </c>
      <c r="H40" s="102">
        <f>'éves P&amp;L_mérleg'!L81-'féléves P&amp;L_mérleg'!H15</f>
        <v>-572.81799999999998</v>
      </c>
      <c r="K40" s="133">
        <f t="shared" si="5"/>
        <v>316.6169585729981</v>
      </c>
      <c r="L40" s="104">
        <f t="shared" si="6"/>
        <v>-239.55585201222627</v>
      </c>
      <c r="M40" s="109">
        <f>+F40/'éves P&amp;L_mérleg'!S$3*1000</f>
        <v>-454.49649155547274</v>
      </c>
      <c r="N40" s="109">
        <f t="shared" si="7"/>
        <v>-1233.2609010575113</v>
      </c>
      <c r="O40" s="107">
        <f t="shared" si="8"/>
        <v>-1614.7089499647639</v>
      </c>
    </row>
    <row r="41" spans="2:15" ht="28.8" x14ac:dyDescent="0.3">
      <c r="B41" s="88" t="s">
        <v>123</v>
      </c>
      <c r="C41" s="88" t="s">
        <v>156</v>
      </c>
      <c r="D41" s="110">
        <f>'éves P&amp;L_mérleg'!H83-'féléves P&amp;L_mérleg'!D17</f>
        <v>328.10168900000008</v>
      </c>
      <c r="E41" s="183">
        <f>'éves P&amp;L_mérleg'!I83-'féléves P&amp;L_mérleg'!E17</f>
        <v>179.19155500000011</v>
      </c>
      <c r="F41" s="110">
        <f>'éves P&amp;L_mérleg'!J83-'féléves P&amp;L_mérleg'!F17</f>
        <v>-209.67852299999913</v>
      </c>
      <c r="G41" s="183">
        <f>'éves P&amp;L_mérleg'!K83-'féléves P&amp;L_mérleg'!G17</f>
        <v>-473.36700000000076</v>
      </c>
      <c r="H41" s="102">
        <f>'éves P&amp;L_mérleg'!L83-'féléves P&amp;L_mérleg'!H17</f>
        <v>3037.4499999999962</v>
      </c>
      <c r="K41" s="110">
        <f t="shared" si="5"/>
        <v>1060.239413817618</v>
      </c>
      <c r="L41" s="84">
        <f t="shared" si="6"/>
        <v>570.52838448802891</v>
      </c>
      <c r="M41" s="110">
        <f>+F41/'éves P&amp;L_mérleg'!S$3*1000</f>
        <v>-652.16796678174592</v>
      </c>
      <c r="N41" s="110">
        <f t="shared" si="7"/>
        <v>-1371.4819643633225</v>
      </c>
      <c r="O41" s="107">
        <f t="shared" si="8"/>
        <v>8562.2269203664455</v>
      </c>
    </row>
    <row r="42" spans="2:15" x14ac:dyDescent="0.3">
      <c r="B42" s="95" t="s">
        <v>125</v>
      </c>
      <c r="C42" s="94" t="s">
        <v>157</v>
      </c>
      <c r="D42" s="109">
        <f>'éves P&amp;L_mérleg'!H84-'féléves P&amp;L_mérleg'!D18</f>
        <v>324.19996700000002</v>
      </c>
      <c r="E42" s="182">
        <f>'éves P&amp;L_mérleg'!I84-'féléves P&amp;L_mérleg'!E18</f>
        <v>159.40167500000001</v>
      </c>
      <c r="F42" s="109">
        <f>'éves P&amp;L_mérleg'!J84-'féléves P&amp;L_mérleg'!F18</f>
        <v>-212.86032600000186</v>
      </c>
      <c r="G42" s="182">
        <f>'éves P&amp;L_mérleg'!K84-'féléves P&amp;L_mérleg'!G18</f>
        <v>-475.33699999999999</v>
      </c>
      <c r="H42" s="102">
        <f>'éves P&amp;L_mérleg'!L84-'féléves P&amp;L_mérleg'!H18</f>
        <v>3037.1840000000002</v>
      </c>
      <c r="K42" s="133">
        <f t="shared" si="5"/>
        <v>1047.6312512117884</v>
      </c>
      <c r="L42" s="104">
        <f t="shared" si="6"/>
        <v>507.5193422058075</v>
      </c>
      <c r="M42" s="109">
        <f>+F42/'éves P&amp;L_mérleg'!S$3*1000</f>
        <v>-662.06440235141019</v>
      </c>
      <c r="N42" s="109">
        <f t="shared" si="7"/>
        <v>-1377.1896276981024</v>
      </c>
      <c r="O42" s="107">
        <f t="shared" si="8"/>
        <v>8561.4770965468651</v>
      </c>
    </row>
    <row r="43" spans="2:15" ht="28.8" x14ac:dyDescent="0.3">
      <c r="B43" s="96" t="s">
        <v>158</v>
      </c>
      <c r="C43" s="96" t="s">
        <v>159</v>
      </c>
      <c r="D43" s="111">
        <f>'éves P&amp;L_mérleg'!H85-'féléves P&amp;L_mérleg'!D19</f>
        <v>3.9017220000000004</v>
      </c>
      <c r="E43" s="184">
        <f>'éves P&amp;L_mérleg'!I85-'féléves P&amp;L_mérleg'!E19</f>
        <v>19.78988</v>
      </c>
      <c r="F43" s="111">
        <f>'éves P&amp;L_mérleg'!J85-'féléves P&amp;L_mérleg'!F19</f>
        <v>3.1818030000000004</v>
      </c>
      <c r="G43" s="184">
        <f>'éves P&amp;L_mérleg'!K85-'féléves P&amp;L_mérleg'!G19</f>
        <v>1.8780000000000001</v>
      </c>
      <c r="H43" s="102">
        <f>'éves P&amp;L_mérleg'!L85-'féléves P&amp;L_mérleg'!H19</f>
        <v>0.26600000000000001</v>
      </c>
      <c r="K43" s="134">
        <f t="shared" si="5"/>
        <v>12.608162605829511</v>
      </c>
      <c r="L43" s="105">
        <f t="shared" si="6"/>
        <v>63.009042282221095</v>
      </c>
      <c r="M43" s="111">
        <f>+F43/'éves P&amp;L_mérleg'!S$3*1000</f>
        <v>9.89643556965569</v>
      </c>
      <c r="N43" s="111">
        <f t="shared" si="7"/>
        <v>5.4411125597566281</v>
      </c>
      <c r="O43" s="107">
        <f t="shared" si="8"/>
        <v>0.74982381959126143</v>
      </c>
    </row>
    <row r="44" spans="2:15" ht="15" thickBot="1" x14ac:dyDescent="0.35">
      <c r="B44" s="94" t="s">
        <v>160</v>
      </c>
      <c r="C44" s="94" t="s">
        <v>161</v>
      </c>
      <c r="D44" s="109">
        <f>'éves P&amp;L_mérleg'!H86-'féléves P&amp;L_mérleg'!D20</f>
        <v>-479.54411900000002</v>
      </c>
      <c r="E44" s="182">
        <f>'éves P&amp;L_mérleg'!I86-'féléves P&amp;L_mérleg'!E20</f>
        <v>-143.78629799999999</v>
      </c>
      <c r="F44" s="109">
        <f>'éves P&amp;L_mérleg'!J86-'féléves P&amp;L_mérleg'!F20</f>
        <v>-354.33777700000019</v>
      </c>
      <c r="G44" s="182">
        <f>'éves P&amp;L_mérleg'!K86-'féléves P&amp;L_mérleg'!G20</f>
        <v>1341.683</v>
      </c>
      <c r="H44" s="102">
        <f>'éves P&amp;L_mérleg'!L86-'féléves P&amp;L_mérleg'!H20</f>
        <v>1863.63</v>
      </c>
      <c r="K44" s="133">
        <f t="shared" si="5"/>
        <v>-1549.6158437277841</v>
      </c>
      <c r="L44" s="104">
        <f t="shared" si="6"/>
        <v>-457.80150916963828</v>
      </c>
      <c r="M44" s="109">
        <f>+F44/'éves P&amp;L_mérleg'!S$3*1000</f>
        <v>-1102.1049951789996</v>
      </c>
      <c r="N44" s="109">
        <f t="shared" si="7"/>
        <v>3887.2461248732438</v>
      </c>
      <c r="O44" s="107">
        <f t="shared" si="8"/>
        <v>5253.361522198732</v>
      </c>
    </row>
    <row r="45" spans="2:15" ht="30" thickTop="1" thickBot="1" x14ac:dyDescent="0.35">
      <c r="B45" s="89" t="s">
        <v>132</v>
      </c>
      <c r="C45" s="89" t="s">
        <v>162</v>
      </c>
      <c r="D45" s="112">
        <f>'éves P&amp;L_mérleg'!H87-'féléves P&amp;L_mérleg'!D21</f>
        <v>-151.44242999999994</v>
      </c>
      <c r="E45" s="185">
        <f>'éves P&amp;L_mérleg'!I87-'féléves P&amp;L_mérleg'!E21</f>
        <v>35.40525700000012</v>
      </c>
      <c r="F45" s="112">
        <f>'éves P&amp;L_mérleg'!J87-'féléves P&amp;L_mérleg'!F21</f>
        <v>-564.01629999999932</v>
      </c>
      <c r="G45" s="185">
        <f>'éves P&amp;L_mérleg'!K87-'féléves P&amp;L_mérleg'!G21</f>
        <v>868.31599999999889</v>
      </c>
      <c r="H45" s="102">
        <f>'éves P&amp;L_mérleg'!L87-'féléves P&amp;L_mérleg'!H21</f>
        <v>4901.0799999999963</v>
      </c>
      <c r="K45" s="112">
        <f t="shared" si="5"/>
        <v>-489.37642991016594</v>
      </c>
      <c r="L45" s="85">
        <f t="shared" si="6"/>
        <v>112.72687531839061</v>
      </c>
      <c r="M45" s="112">
        <f>+F45/'éves P&amp;L_mérleg'!S$3*1000</f>
        <v>-1754.2729619607455</v>
      </c>
      <c r="N45" s="112">
        <f t="shared" si="7"/>
        <v>2515.7641605099202</v>
      </c>
      <c r="O45" s="107">
        <f t="shared" si="8"/>
        <v>13815.588442565175</v>
      </c>
    </row>
    <row r="46" spans="2:15" ht="15" thickTop="1" x14ac:dyDescent="0.3">
      <c r="B46" s="94" t="s">
        <v>125</v>
      </c>
      <c r="C46" s="94" t="s">
        <v>157</v>
      </c>
      <c r="D46" s="109">
        <f>'éves P&amp;L_mérleg'!H88-'féléves P&amp;L_mérleg'!D22</f>
        <v>432.98184800000001</v>
      </c>
      <c r="E46" s="182">
        <f>'éves P&amp;L_mérleg'!I88-'féléves P&amp;L_mérleg'!E22</f>
        <v>15.615377000000024</v>
      </c>
      <c r="F46" s="109">
        <f>'éves P&amp;L_mérleg'!J88-'féléves P&amp;L_mérleg'!F22</f>
        <v>577.73535100000004</v>
      </c>
      <c r="G46" s="182">
        <f>'éves P&amp;L_mérleg'!K88-'féléves P&amp;L_mérleg'!G22</f>
        <v>-1835</v>
      </c>
      <c r="H46" s="102">
        <f>'éves P&amp;L_mérleg'!L88-'féléves P&amp;L_mérleg'!H22</f>
        <v>-5861</v>
      </c>
      <c r="K46" s="133">
        <f t="shared" si="5"/>
        <v>1399.1528727460741</v>
      </c>
      <c r="L46" s="104">
        <f t="shared" si="6"/>
        <v>49.71783303616921</v>
      </c>
      <c r="M46" s="109">
        <f>+F46/'éves P&amp;L_mérleg'!S$3*1000</f>
        <v>1796.9436440546174</v>
      </c>
      <c r="N46" s="109">
        <f t="shared" si="7"/>
        <v>-5316.5290453426051</v>
      </c>
      <c r="O46" s="107">
        <f t="shared" si="8"/>
        <v>-16521.494009866103</v>
      </c>
    </row>
    <row r="47" spans="2:15" ht="29.4" thickBot="1" x14ac:dyDescent="0.35">
      <c r="B47" s="94" t="s">
        <v>158</v>
      </c>
      <c r="C47" s="96" t="s">
        <v>159</v>
      </c>
      <c r="D47" s="109">
        <f>'éves P&amp;L_mérleg'!H89-'féléves P&amp;L_mérleg'!D23</f>
        <v>2.428722</v>
      </c>
      <c r="E47" s="182">
        <f>'éves P&amp;L_mérleg'!I89-'féléves P&amp;L_mérleg'!E23</f>
        <v>19.78988</v>
      </c>
      <c r="F47" s="109">
        <f>'éves P&amp;L_mérleg'!J89-'féléves P&amp;L_mérleg'!F23</f>
        <v>0.26780300000000001</v>
      </c>
      <c r="G47" s="182">
        <f>'éves P&amp;L_mérleg'!K89-'féléves P&amp;L_mérleg'!G23</f>
        <v>-2</v>
      </c>
      <c r="H47" s="102">
        <f>'éves P&amp;L_mérleg'!L89-'féléves P&amp;L_mérleg'!H23</f>
        <v>-2</v>
      </c>
      <c r="K47" s="133">
        <f t="shared" si="5"/>
        <v>7.8482582563174574</v>
      </c>
      <c r="L47" s="104">
        <f t="shared" si="6"/>
        <v>63.009042282221095</v>
      </c>
      <c r="M47" s="109">
        <f>+F47/'éves P&amp;L_mérleg'!S$3*1000</f>
        <v>0.83295387390749909</v>
      </c>
      <c r="N47" s="109">
        <f t="shared" si="7"/>
        <v>-5.7945820657685063</v>
      </c>
      <c r="O47" s="107">
        <f t="shared" si="8"/>
        <v>-5.6377730796335452</v>
      </c>
    </row>
    <row r="48" spans="2:15" ht="15.6" thickTop="1" thickBot="1" x14ac:dyDescent="0.35">
      <c r="B48" s="89" t="s">
        <v>139</v>
      </c>
      <c r="C48" s="89" t="s">
        <v>139</v>
      </c>
      <c r="D48" s="112">
        <f>'éves P&amp;L_mérleg'!H90-'féléves P&amp;L_mérleg'!D24</f>
        <v>671.58352099999979</v>
      </c>
      <c r="E48" s="185">
        <f>'éves P&amp;L_mérleg'!I90-'féléves P&amp;L_mérleg'!E24</f>
        <v>864.43374999999969</v>
      </c>
      <c r="F48" s="112">
        <f>'éves P&amp;L_mérleg'!J90-'féléves P&amp;L_mérleg'!F24</f>
        <v>1656.3365050000002</v>
      </c>
      <c r="G48" s="185">
        <f>'éves P&amp;L_mérleg'!K90-'féléves P&amp;L_mérleg'!G24</f>
        <v>2374.6229999999996</v>
      </c>
      <c r="H48" s="102">
        <f>'éves P&amp;L_mérleg'!L90-'féléves P&amp;L_mérleg'!H24</f>
        <v>6666.9879999999994</v>
      </c>
      <c r="K48" s="112">
        <f t="shared" si="5"/>
        <v>2170.1787662379625</v>
      </c>
      <c r="L48" s="85">
        <f t="shared" si="6"/>
        <v>2752.2725101884862</v>
      </c>
      <c r="M48" s="112">
        <f>+F48/'éves P&amp;L_mérleg'!S$3*1000</f>
        <v>5151.7417965226596</v>
      </c>
      <c r="N48" s="112">
        <f t="shared" si="7"/>
        <v>6879.9739243807035</v>
      </c>
      <c r="O48" s="107">
        <f t="shared" si="8"/>
        <v>18793.482734319939</v>
      </c>
    </row>
    <row r="49" spans="1:16" ht="15" thickTop="1" x14ac:dyDescent="0.3">
      <c r="B49" s="147"/>
      <c r="C49" s="147"/>
      <c r="D49" s="150"/>
      <c r="E49" s="150"/>
      <c r="F49" s="150"/>
      <c r="G49" s="150"/>
      <c r="H49" s="150"/>
      <c r="I49" s="151"/>
      <c r="J49" s="151"/>
      <c r="K49" s="152"/>
      <c r="L49" s="152"/>
      <c r="M49" s="152"/>
      <c r="N49" s="152"/>
      <c r="O49" s="152"/>
    </row>
    <row r="50" spans="1:16" ht="18" x14ac:dyDescent="0.35">
      <c r="D50" s="122">
        <v>1000</v>
      </c>
      <c r="E50" s="106"/>
      <c r="F50" s="122"/>
      <c r="G50" s="122"/>
      <c r="H50" s="150"/>
      <c r="K50" s="419" t="s">
        <v>290</v>
      </c>
      <c r="L50" s="419"/>
      <c r="O50" s="106"/>
    </row>
    <row r="51" spans="1:16" x14ac:dyDescent="0.3">
      <c r="D51" s="122"/>
      <c r="E51" s="106"/>
      <c r="F51" s="122"/>
      <c r="G51" s="122"/>
      <c r="H51" s="150"/>
      <c r="J51" t="s">
        <v>181</v>
      </c>
      <c r="K51" s="106">
        <v>308.87</v>
      </c>
      <c r="L51" s="106">
        <v>328.6</v>
      </c>
      <c r="M51" s="106">
        <v>322.76</v>
      </c>
      <c r="N51" s="106">
        <f>+'negyedéves P&amp;L_mérleg'!AL32</f>
        <v>356.57</v>
      </c>
      <c r="O51" s="378">
        <v>351.9</v>
      </c>
    </row>
    <row r="52" spans="1:16" x14ac:dyDescent="0.3">
      <c r="A52" s="1" t="s">
        <v>0</v>
      </c>
      <c r="B52" s="153"/>
      <c r="C52" s="153" t="s">
        <v>1</v>
      </c>
      <c r="D52" s="137">
        <v>42916</v>
      </c>
      <c r="E52" s="137">
        <v>43281</v>
      </c>
      <c r="F52" s="137">
        <v>43646</v>
      </c>
      <c r="G52" s="137">
        <v>44012</v>
      </c>
      <c r="H52" s="137">
        <v>44377</v>
      </c>
      <c r="I52" s="138"/>
      <c r="J52" s="138"/>
      <c r="K52" s="139">
        <v>42916</v>
      </c>
      <c r="L52" s="137">
        <v>43281</v>
      </c>
      <c r="M52" s="139">
        <v>43646</v>
      </c>
      <c r="N52" s="139">
        <v>44012</v>
      </c>
      <c r="O52" s="139">
        <v>44377</v>
      </c>
    </row>
    <row r="53" spans="1:16" ht="15" customHeight="1" thickBot="1" x14ac:dyDescent="0.35">
      <c r="B53" s="153" t="s">
        <v>93</v>
      </c>
      <c r="C53" s="154" t="s">
        <v>166</v>
      </c>
      <c r="D53" s="135" t="s">
        <v>170</v>
      </c>
      <c r="E53" s="135" t="s">
        <v>170</v>
      </c>
      <c r="F53" s="135" t="s">
        <v>170</v>
      </c>
      <c r="G53" s="135" t="s">
        <v>170</v>
      </c>
      <c r="H53" s="135" t="s">
        <v>170</v>
      </c>
      <c r="K53" s="136" t="s">
        <v>170</v>
      </c>
      <c r="L53" s="101" t="s">
        <v>170</v>
      </c>
      <c r="M53" s="101" t="s">
        <v>170</v>
      </c>
      <c r="N53" s="101" t="s">
        <v>170</v>
      </c>
      <c r="O53" s="101" t="s">
        <v>170</v>
      </c>
    </row>
    <row r="54" spans="1:16" ht="15" thickBot="1" x14ac:dyDescent="0.35">
      <c r="B54" s="98" t="s">
        <v>4</v>
      </c>
      <c r="C54" s="98" t="s">
        <v>5</v>
      </c>
      <c r="D54" s="114">
        <f>SUM(D55:D66)</f>
        <v>6414.7109999999993</v>
      </c>
      <c r="E54" s="123">
        <f>SUM(E55:E66)</f>
        <v>8980.4130000000005</v>
      </c>
      <c r="F54" s="114">
        <f>SUM(F55:F66)</f>
        <v>24087.058890999997</v>
      </c>
      <c r="G54" s="123">
        <f>SUM(G55:G66)</f>
        <v>25768.704999999994</v>
      </c>
      <c r="H54" s="114">
        <f>SUM(H55:H66)</f>
        <v>29983.1</v>
      </c>
      <c r="I54" s="141"/>
      <c r="J54" s="141"/>
      <c r="K54" s="114">
        <f t="shared" ref="K54:M54" si="9">SUM(K55:K66)</f>
        <v>19521.335970785156</v>
      </c>
      <c r="L54" s="123">
        <f t="shared" si="9"/>
        <v>29075.057467542982</v>
      </c>
      <c r="M54" s="114">
        <f t="shared" si="9"/>
        <v>74628.38917771721</v>
      </c>
      <c r="N54" s="379">
        <f t="shared" ref="N54" si="10">SUM(N55:N66)</f>
        <v>72268.29234091485</v>
      </c>
      <c r="O54" s="114">
        <f t="shared" ref="O54" si="11">SUM(O55:O66)</f>
        <v>85203.46689400397</v>
      </c>
      <c r="P54" s="203"/>
    </row>
    <row r="55" spans="1:16" ht="18" customHeight="1" x14ac:dyDescent="0.3">
      <c r="B55" s="97" t="s">
        <v>6</v>
      </c>
      <c r="C55" s="97" t="s">
        <v>286</v>
      </c>
      <c r="D55" s="115">
        <v>4931.8789999999999</v>
      </c>
      <c r="E55" s="124">
        <v>6213.2340000000004</v>
      </c>
      <c r="F55" s="115">
        <v>16693.211686999999</v>
      </c>
      <c r="G55" s="124">
        <v>19841.204000000002</v>
      </c>
      <c r="H55" s="115">
        <v>24787</v>
      </c>
      <c r="I55" s="141"/>
      <c r="J55" s="141"/>
      <c r="K55" s="115">
        <f t="shared" ref="K55:K60" si="12">+D55/L$51*1000</f>
        <v>15008.761412051126</v>
      </c>
      <c r="L55" s="124">
        <f t="shared" ref="L55:L60" si="13">+E55/K$51*1000</f>
        <v>20116.016447048922</v>
      </c>
      <c r="M55" s="115">
        <f t="shared" ref="M55:M61" si="14">F55/$M$51*1000</f>
        <v>51720.199798611975</v>
      </c>
      <c r="N55" s="380">
        <f>G55/$N$51*1000</f>
        <v>55644.62517878678</v>
      </c>
      <c r="O55" s="115">
        <f t="shared" ref="O55:O61" si="15">H55/O$51*1000</f>
        <v>70437.624325092358</v>
      </c>
    </row>
    <row r="56" spans="1:16" ht="16.2" customHeight="1" x14ac:dyDescent="0.3">
      <c r="B56" s="97" t="s">
        <v>8</v>
      </c>
      <c r="C56" s="97" t="s">
        <v>9</v>
      </c>
      <c r="D56" s="115">
        <v>32.802</v>
      </c>
      <c r="E56" s="124">
        <v>45.884</v>
      </c>
      <c r="F56" s="115">
        <v>42.802802999999997</v>
      </c>
      <c r="G56" s="124">
        <v>85.727999999999994</v>
      </c>
      <c r="H56" s="115">
        <v>89</v>
      </c>
      <c r="I56" s="141"/>
      <c r="J56" s="141"/>
      <c r="K56" s="115">
        <f t="shared" si="12"/>
        <v>99.823493609251358</v>
      </c>
      <c r="L56" s="124">
        <f t="shared" si="13"/>
        <v>148.55440800336712</v>
      </c>
      <c r="M56" s="115">
        <f t="shared" si="14"/>
        <v>132.61495538480605</v>
      </c>
      <c r="N56" s="380">
        <f t="shared" ref="N56:N65" si="16">G56/$N$51*1000</f>
        <v>240.42404016041729</v>
      </c>
      <c r="O56" s="115">
        <f t="shared" si="15"/>
        <v>252.91275930662121</v>
      </c>
    </row>
    <row r="57" spans="1:16" x14ac:dyDescent="0.3">
      <c r="B57" s="97" t="s">
        <v>10</v>
      </c>
      <c r="C57" s="97" t="s">
        <v>11</v>
      </c>
      <c r="D57" s="115">
        <v>586.62</v>
      </c>
      <c r="E57" s="124">
        <v>251.33500000000001</v>
      </c>
      <c r="F57" s="115">
        <v>254.418553</v>
      </c>
      <c r="G57" s="124">
        <v>104.376</v>
      </c>
      <c r="H57" s="115">
        <v>0</v>
      </c>
      <c r="I57" s="141"/>
      <c r="J57" s="141"/>
      <c r="K57" s="115">
        <f t="shared" si="12"/>
        <v>1785.2099817407181</v>
      </c>
      <c r="L57" s="124">
        <f t="shared" si="13"/>
        <v>813.7242205458607</v>
      </c>
      <c r="M57" s="115">
        <f t="shared" si="14"/>
        <v>788.25924216135832</v>
      </c>
      <c r="N57" s="380">
        <f t="shared" si="16"/>
        <v>292.72232661188548</v>
      </c>
      <c r="O57" s="115">
        <f t="shared" si="15"/>
        <v>0</v>
      </c>
    </row>
    <row r="58" spans="1:16" x14ac:dyDescent="0.3">
      <c r="B58" s="97" t="s">
        <v>13</v>
      </c>
      <c r="C58" s="97" t="s">
        <v>14</v>
      </c>
      <c r="D58" s="115">
        <v>54.981000000000002</v>
      </c>
      <c r="E58" s="124">
        <v>4.0190000000000001</v>
      </c>
      <c r="F58" s="115">
        <v>16.534867999999999</v>
      </c>
      <c r="G58" s="124">
        <v>3.0910000000000002</v>
      </c>
      <c r="H58" s="115">
        <v>0</v>
      </c>
      <c r="I58" s="141"/>
      <c r="J58" s="141"/>
      <c r="K58" s="115">
        <f t="shared" si="12"/>
        <v>167.31892878880097</v>
      </c>
      <c r="L58" s="124">
        <f t="shared" si="13"/>
        <v>13.011946773723572</v>
      </c>
      <c r="M58" s="115">
        <f t="shared" si="14"/>
        <v>51.229607138431035</v>
      </c>
      <c r="N58" s="380">
        <f t="shared" si="16"/>
        <v>8.6687046021819008</v>
      </c>
      <c r="O58" s="115">
        <f t="shared" si="15"/>
        <v>0</v>
      </c>
    </row>
    <row r="59" spans="1:16" x14ac:dyDescent="0.3">
      <c r="B59" s="97" t="s">
        <v>15</v>
      </c>
      <c r="C59" s="97" t="s">
        <v>16</v>
      </c>
      <c r="D59" s="115">
        <v>212.035</v>
      </c>
      <c r="E59" s="124">
        <v>581.45799999999997</v>
      </c>
      <c r="F59" s="115">
        <v>4641.5200830000003</v>
      </c>
      <c r="G59" s="124">
        <v>3003.0479999999998</v>
      </c>
      <c r="H59" s="115">
        <v>2790</v>
      </c>
      <c r="I59" s="141"/>
      <c r="J59" s="141"/>
      <c r="K59" s="115">
        <f t="shared" si="12"/>
        <v>645.26780279975651</v>
      </c>
      <c r="L59" s="124">
        <f t="shared" si="13"/>
        <v>1882.5331045423638</v>
      </c>
      <c r="M59" s="115">
        <f t="shared" si="14"/>
        <v>14380.716578882144</v>
      </c>
      <c r="N59" s="380">
        <f t="shared" si="16"/>
        <v>8422.0433575455027</v>
      </c>
      <c r="O59" s="115">
        <f t="shared" si="15"/>
        <v>7928.3887468030689</v>
      </c>
    </row>
    <row r="60" spans="1:16" x14ac:dyDescent="0.3">
      <c r="B60" s="97" t="s">
        <v>17</v>
      </c>
      <c r="C60" s="97" t="s">
        <v>18</v>
      </c>
      <c r="D60" s="115">
        <v>321.904</v>
      </c>
      <c r="E60" s="124">
        <v>1411.4659999999999</v>
      </c>
      <c r="F60" s="115">
        <v>1428.56431</v>
      </c>
      <c r="G60" s="124">
        <v>1359.6210000000001</v>
      </c>
      <c r="H60" s="115">
        <v>1124</v>
      </c>
      <c r="I60" s="141"/>
      <c r="J60" s="141"/>
      <c r="K60" s="115">
        <f t="shared" si="12"/>
        <v>979.62264150943395</v>
      </c>
      <c r="L60" s="124">
        <f t="shared" si="13"/>
        <v>4569.7736911969432</v>
      </c>
      <c r="M60" s="115">
        <f t="shared" si="14"/>
        <v>4426.0884558185653</v>
      </c>
      <c r="N60" s="380">
        <f t="shared" si="16"/>
        <v>3813.0549401239591</v>
      </c>
      <c r="O60" s="115">
        <f t="shared" si="15"/>
        <v>3194.089229894857</v>
      </c>
    </row>
    <row r="61" spans="1:16" x14ac:dyDescent="0.3">
      <c r="B61" s="97" t="s">
        <v>284</v>
      </c>
      <c r="C61" s="97" t="s">
        <v>308</v>
      </c>
      <c r="D61" s="115"/>
      <c r="E61" s="124"/>
      <c r="F61" s="115">
        <v>630.11357999999996</v>
      </c>
      <c r="G61" s="124">
        <v>939.65700000000004</v>
      </c>
      <c r="H61" s="115">
        <v>1000</v>
      </c>
      <c r="I61" s="141"/>
      <c r="J61" s="141"/>
      <c r="K61" s="115"/>
      <c r="L61" s="124"/>
      <c r="M61" s="115">
        <f t="shared" si="14"/>
        <v>1952.2666377494113</v>
      </c>
      <c r="N61" s="380">
        <f t="shared" si="16"/>
        <v>2635.2665675743892</v>
      </c>
      <c r="O61" s="115">
        <f t="shared" si="15"/>
        <v>2841.716396703609</v>
      </c>
    </row>
    <row r="62" spans="1:16" x14ac:dyDescent="0.3">
      <c r="B62" s="97" t="s">
        <v>19</v>
      </c>
      <c r="C62" s="157" t="s">
        <v>19</v>
      </c>
      <c r="D62" s="115"/>
      <c r="E62" s="124"/>
      <c r="F62" s="115"/>
      <c r="G62" s="124">
        <v>186.31899999999999</v>
      </c>
      <c r="H62" s="115">
        <v>0</v>
      </c>
      <c r="I62" s="141"/>
      <c r="J62" s="141"/>
      <c r="K62" s="115"/>
      <c r="L62" s="124"/>
      <c r="M62" s="115"/>
      <c r="N62" s="380">
        <f t="shared" si="16"/>
        <v>522.53134026979274</v>
      </c>
      <c r="O62" s="115"/>
    </row>
    <row r="63" spans="1:16" x14ac:dyDescent="0.3">
      <c r="B63" s="97" t="s">
        <v>21</v>
      </c>
      <c r="C63" s="157" t="s">
        <v>22</v>
      </c>
      <c r="D63" s="115">
        <v>60.573999999999998</v>
      </c>
      <c r="E63" s="124">
        <v>285.91199999999998</v>
      </c>
      <c r="F63" s="115">
        <v>179.63820100000001</v>
      </c>
      <c r="G63" s="124">
        <v>174.24700000000001</v>
      </c>
      <c r="H63" s="115">
        <v>95</v>
      </c>
      <c r="I63" s="141"/>
      <c r="J63" s="141"/>
      <c r="K63" s="115">
        <f>+D63/L$51*1000</f>
        <v>184.33962264150941</v>
      </c>
      <c r="L63" s="124">
        <f>+E63/K$51*1000</f>
        <v>925.67099426943366</v>
      </c>
      <c r="M63" s="115">
        <f t="shared" ref="M63:M65" si="17">F63/$M$51*1000</f>
        <v>556.56897075226175</v>
      </c>
      <c r="N63" s="380">
        <f t="shared" si="16"/>
        <v>488.67543539837902</v>
      </c>
      <c r="O63" s="115">
        <f>H63/O$51*1000</f>
        <v>269.96305768684289</v>
      </c>
    </row>
    <row r="64" spans="1:16" x14ac:dyDescent="0.3">
      <c r="B64" s="97" t="s">
        <v>171</v>
      </c>
      <c r="C64" s="157" t="s">
        <v>24</v>
      </c>
      <c r="D64" s="115">
        <v>213.816</v>
      </c>
      <c r="E64" s="124">
        <v>187.005</v>
      </c>
      <c r="F64" s="115">
        <v>200.15480600000001</v>
      </c>
      <c r="G64" s="124">
        <v>71.313999999999993</v>
      </c>
      <c r="H64" s="115">
        <v>98</v>
      </c>
      <c r="I64" s="141"/>
      <c r="J64" s="141"/>
      <c r="K64" s="115">
        <f>+D64/L$51*1000</f>
        <v>650.68776628119281</v>
      </c>
      <c r="L64" s="124">
        <f>+E64/K$51*1000</f>
        <v>605.44889435684911</v>
      </c>
      <c r="M64" s="115">
        <f t="shared" si="17"/>
        <v>620.13510348246382</v>
      </c>
      <c r="N64" s="380">
        <f t="shared" si="16"/>
        <v>199.99999999999997</v>
      </c>
      <c r="O64" s="115">
        <f>H64/O$51*1000</f>
        <v>278.48820687695371</v>
      </c>
    </row>
    <row r="65" spans="2:16" x14ac:dyDescent="0.3">
      <c r="B65" s="97" t="s">
        <v>172</v>
      </c>
      <c r="C65" s="157" t="s">
        <v>304</v>
      </c>
      <c r="D65" s="115">
        <v>0.1</v>
      </c>
      <c r="E65" s="124">
        <v>0.1</v>
      </c>
      <c r="F65" s="115">
        <v>0.1</v>
      </c>
      <c r="G65" s="124">
        <v>0.1</v>
      </c>
      <c r="H65" s="115">
        <v>0.1</v>
      </c>
      <c r="I65" s="141"/>
      <c r="J65" s="141"/>
      <c r="K65" s="115">
        <f>+D65/L$51*1000</f>
        <v>0.30432136335970783</v>
      </c>
      <c r="L65" s="124">
        <f>+E65/K$51*1000</f>
        <v>0.32376080551688413</v>
      </c>
      <c r="M65" s="115">
        <f t="shared" si="17"/>
        <v>0.30982773577890699</v>
      </c>
      <c r="N65" s="380">
        <f t="shared" si="16"/>
        <v>0.28044984154583952</v>
      </c>
      <c r="O65" s="115">
        <f>H65/O$51*1000</f>
        <v>0.28417163967036096</v>
      </c>
    </row>
    <row r="66" spans="2:16" ht="15" thickBot="1" x14ac:dyDescent="0.35">
      <c r="B66" s="97"/>
      <c r="C66" s="97"/>
      <c r="D66" s="116"/>
      <c r="E66" s="125"/>
      <c r="F66" s="116"/>
      <c r="G66" s="125"/>
      <c r="H66" s="116"/>
      <c r="I66" s="141"/>
      <c r="J66" s="141"/>
      <c r="K66" s="116"/>
      <c r="L66" s="125"/>
      <c r="M66" s="116"/>
      <c r="N66" s="381"/>
      <c r="O66" s="116"/>
    </row>
    <row r="67" spans="2:16" ht="29.4" thickBot="1" x14ac:dyDescent="0.35">
      <c r="B67" s="98" t="s">
        <v>173</v>
      </c>
      <c r="C67" s="98" t="s">
        <v>27</v>
      </c>
      <c r="D67" s="117">
        <f>SUM(D68:D76)</f>
        <v>8405.1329999999998</v>
      </c>
      <c r="E67" s="126">
        <f>SUM(E68:E76)</f>
        <v>6946.6080000000002</v>
      </c>
      <c r="F67" s="117">
        <f>SUM(F68:F76)</f>
        <v>9124.4046550000003</v>
      </c>
      <c r="G67" s="126">
        <f>SUM(G68:G76)</f>
        <v>12068.826999999999</v>
      </c>
      <c r="H67" s="117">
        <f>SUM(H68:H76)</f>
        <v>19112</v>
      </c>
      <c r="I67" s="141"/>
      <c r="J67" s="141"/>
      <c r="K67" s="117">
        <f t="shared" ref="K67:M67" si="18">SUM(K68:K76)</f>
        <v>25578.615337796709</v>
      </c>
      <c r="L67" s="126">
        <f t="shared" si="18"/>
        <v>22490.394016900314</v>
      </c>
      <c r="M67" s="117">
        <f t="shared" si="18"/>
        <v>28269.936345891681</v>
      </c>
      <c r="N67" s="382">
        <f t="shared" ref="N67" si="19">SUM(N68:N76)</f>
        <v>33847.006197941497</v>
      </c>
      <c r="O67" s="117">
        <f t="shared" ref="O67" si="20">SUM(O68:O76)</f>
        <v>54310.883773799374</v>
      </c>
      <c r="P67" s="203"/>
    </row>
    <row r="68" spans="2:16" x14ac:dyDescent="0.3">
      <c r="B68" s="97" t="s">
        <v>28</v>
      </c>
      <c r="C68" s="97" t="s">
        <v>29</v>
      </c>
      <c r="D68" s="118">
        <v>145.86500000000001</v>
      </c>
      <c r="E68" s="127">
        <v>145.27099999999999</v>
      </c>
      <c r="F68" s="118">
        <v>298.42093699999998</v>
      </c>
      <c r="G68" s="127">
        <v>347.92899999999997</v>
      </c>
      <c r="H68" s="118">
        <v>564</v>
      </c>
      <c r="I68" s="141"/>
      <c r="J68" s="141"/>
      <c r="K68" s="118">
        <f t="shared" ref="K68:K74" si="21">+D68/L$51*1000</f>
        <v>443.89835666463784</v>
      </c>
      <c r="L68" s="127">
        <f t="shared" ref="L68:L74" si="22">+E68/K$51*1000</f>
        <v>470.33055978243272</v>
      </c>
      <c r="M68" s="118">
        <f t="shared" ref="M68:M76" si="23">F68/$M$51*1000</f>
        <v>924.59083219729837</v>
      </c>
      <c r="N68" s="383">
        <f t="shared" ref="N68:N76" si="24">G68/N$51*1000</f>
        <v>975.76632919202405</v>
      </c>
      <c r="O68" s="118">
        <f t="shared" ref="O68:O76" si="25">H68/O$51*1000</f>
        <v>1602.7280477408356</v>
      </c>
    </row>
    <row r="69" spans="2:16" x14ac:dyDescent="0.3">
      <c r="B69" s="97" t="s">
        <v>30</v>
      </c>
      <c r="C69" s="97" t="s">
        <v>31</v>
      </c>
      <c r="D69" s="118">
        <v>3302.2649999999999</v>
      </c>
      <c r="E69" s="127">
        <v>1622.2080000000001</v>
      </c>
      <c r="F69" s="118">
        <v>2500.9883030000001</v>
      </c>
      <c r="G69" s="127">
        <v>3000.7240000000002</v>
      </c>
      <c r="H69" s="118">
        <v>2593</v>
      </c>
      <c r="I69" s="141"/>
      <c r="J69" s="141"/>
      <c r="K69" s="118">
        <f t="shared" si="21"/>
        <v>10049.497869750456</v>
      </c>
      <c r="L69" s="127">
        <f t="shared" si="22"/>
        <v>5252.073687959336</v>
      </c>
      <c r="M69" s="118">
        <f t="shared" si="23"/>
        <v>7748.7554312802085</v>
      </c>
      <c r="N69" s="383">
        <f t="shared" si="24"/>
        <v>8415.5257032279769</v>
      </c>
      <c r="O69" s="118">
        <f t="shared" si="25"/>
        <v>7368.5706166524587</v>
      </c>
    </row>
    <row r="70" spans="2:16" x14ac:dyDescent="0.3">
      <c r="B70" s="97" t="s">
        <v>32</v>
      </c>
      <c r="C70" s="97" t="s">
        <v>33</v>
      </c>
      <c r="D70" s="118">
        <v>830.59500000000003</v>
      </c>
      <c r="E70" s="127">
        <v>860.39099999999996</v>
      </c>
      <c r="F70" s="118">
        <v>312.42079699999999</v>
      </c>
      <c r="G70" s="127">
        <v>173.55099999999999</v>
      </c>
      <c r="H70" s="118">
        <v>0</v>
      </c>
      <c r="I70" s="141"/>
      <c r="J70" s="141"/>
      <c r="K70" s="118">
        <f t="shared" si="21"/>
        <v>2527.6780279975656</v>
      </c>
      <c r="L70" s="127">
        <f t="shared" si="22"/>
        <v>2785.6088321947741</v>
      </c>
      <c r="M70" s="118">
        <f t="shared" si="23"/>
        <v>967.96628144751514</v>
      </c>
      <c r="N70" s="383">
        <f t="shared" si="24"/>
        <v>486.72350450121991</v>
      </c>
      <c r="O70" s="118">
        <f t="shared" si="25"/>
        <v>0</v>
      </c>
    </row>
    <row r="71" spans="2:16" x14ac:dyDescent="0.3">
      <c r="B71" s="97" t="s">
        <v>311</v>
      </c>
      <c r="C71" s="157" t="s">
        <v>303</v>
      </c>
      <c r="D71" s="118">
        <v>461.67399999999998</v>
      </c>
      <c r="E71" s="127">
        <v>494.86399999999998</v>
      </c>
      <c r="F71" s="118">
        <v>314.78907600000002</v>
      </c>
      <c r="G71" s="127">
        <v>1010.309</v>
      </c>
      <c r="H71" s="118">
        <v>110</v>
      </c>
      <c r="I71" s="141"/>
      <c r="J71" s="141"/>
      <c r="K71" s="118">
        <f t="shared" si="21"/>
        <v>1404.9726110772976</v>
      </c>
      <c r="L71" s="127">
        <f t="shared" si="22"/>
        <v>1602.1756726130734</v>
      </c>
      <c r="M71" s="118">
        <f t="shared" si="23"/>
        <v>975.3038666501426</v>
      </c>
      <c r="N71" s="383">
        <f t="shared" si="24"/>
        <v>2833.4099896233556</v>
      </c>
      <c r="O71" s="118">
        <f t="shared" si="25"/>
        <v>312.58880363739701</v>
      </c>
    </row>
    <row r="72" spans="2:16" x14ac:dyDescent="0.3">
      <c r="B72" s="97" t="s">
        <v>34</v>
      </c>
      <c r="C72" s="97" t="s">
        <v>35</v>
      </c>
      <c r="D72" s="118">
        <v>985.30899999999997</v>
      </c>
      <c r="E72" s="127">
        <v>2323.9029999999998</v>
      </c>
      <c r="F72" s="118">
        <v>2158.7542800000001</v>
      </c>
      <c r="G72" s="127">
        <v>3004.0740000000001</v>
      </c>
      <c r="H72" s="118">
        <v>4919</v>
      </c>
      <c r="I72" s="141"/>
      <c r="J72" s="141"/>
      <c r="K72" s="118">
        <f t="shared" si="21"/>
        <v>2998.5057821059036</v>
      </c>
      <c r="L72" s="127">
        <f t="shared" si="22"/>
        <v>7523.8870722310348</v>
      </c>
      <c r="M72" s="118">
        <f t="shared" si="23"/>
        <v>6688.419506754245</v>
      </c>
      <c r="N72" s="383">
        <f t="shared" si="24"/>
        <v>8424.9207729197642</v>
      </c>
      <c r="O72" s="118">
        <f t="shared" si="25"/>
        <v>13978.402955385054</v>
      </c>
    </row>
    <row r="73" spans="2:16" x14ac:dyDescent="0.3">
      <c r="B73" s="97" t="s">
        <v>36</v>
      </c>
      <c r="C73" s="97" t="s">
        <v>37</v>
      </c>
      <c r="D73" s="118">
        <v>35.066000000000003</v>
      </c>
      <c r="E73" s="127">
        <v>121.90600000000001</v>
      </c>
      <c r="F73" s="118">
        <v>145.46445499999999</v>
      </c>
      <c r="G73" s="127">
        <v>0</v>
      </c>
      <c r="H73" s="118">
        <v>3772</v>
      </c>
      <c r="I73" s="141"/>
      <c r="J73" s="141"/>
      <c r="K73" s="118">
        <f t="shared" si="21"/>
        <v>106.71332927571515</v>
      </c>
      <c r="L73" s="127">
        <f t="shared" si="22"/>
        <v>394.68384757341278</v>
      </c>
      <c r="M73" s="118">
        <f t="shared" si="23"/>
        <v>450.68922728962696</v>
      </c>
      <c r="N73" s="383">
        <f t="shared" si="24"/>
        <v>0</v>
      </c>
      <c r="O73" s="118">
        <f t="shared" si="25"/>
        <v>10718.954248366013</v>
      </c>
    </row>
    <row r="74" spans="2:16" x14ac:dyDescent="0.3">
      <c r="B74" s="97" t="s">
        <v>38</v>
      </c>
      <c r="C74" s="97" t="s">
        <v>39</v>
      </c>
      <c r="D74" s="118">
        <v>2644.3589999999999</v>
      </c>
      <c r="E74" s="127">
        <v>1343.0650000000001</v>
      </c>
      <c r="F74" s="118">
        <v>2332.1740089999998</v>
      </c>
      <c r="G74" s="127">
        <v>3968.3679999999999</v>
      </c>
      <c r="H74" s="118">
        <v>7154</v>
      </c>
      <c r="I74" s="141"/>
      <c r="J74" s="141"/>
      <c r="K74" s="118">
        <f t="shared" si="21"/>
        <v>8047.3493609251354</v>
      </c>
      <c r="L74" s="127">
        <f t="shared" si="22"/>
        <v>4348.3180626153398</v>
      </c>
      <c r="M74" s="118">
        <f t="shared" si="23"/>
        <v>7225.7219265088606</v>
      </c>
      <c r="N74" s="383">
        <f t="shared" si="24"/>
        <v>11129.281767955801</v>
      </c>
      <c r="O74" s="118">
        <f t="shared" si="25"/>
        <v>20329.63910201762</v>
      </c>
    </row>
    <row r="75" spans="2:16" x14ac:dyDescent="0.3">
      <c r="B75" s="97" t="s">
        <v>283</v>
      </c>
      <c r="C75" s="157" t="s">
        <v>307</v>
      </c>
      <c r="D75" s="118"/>
      <c r="E75" s="127"/>
      <c r="F75" s="118">
        <v>1056.3927980000001</v>
      </c>
      <c r="G75" s="127">
        <v>563.87199999999996</v>
      </c>
      <c r="H75" s="118">
        <v>0</v>
      </c>
      <c r="I75" s="141"/>
      <c r="J75" s="141"/>
      <c r="K75" s="118"/>
      <c r="L75" s="127"/>
      <c r="M75" s="118">
        <f t="shared" si="23"/>
        <v>3272.997886974842</v>
      </c>
      <c r="N75" s="383">
        <f t="shared" si="24"/>
        <v>1581.3781305213561</v>
      </c>
      <c r="O75" s="118">
        <f t="shared" si="25"/>
        <v>0</v>
      </c>
    </row>
    <row r="76" spans="2:16" x14ac:dyDescent="0.3">
      <c r="B76" s="97" t="s">
        <v>40</v>
      </c>
      <c r="C76" s="97" t="s">
        <v>41</v>
      </c>
      <c r="D76" s="118" t="s">
        <v>12</v>
      </c>
      <c r="E76" s="127">
        <v>35</v>
      </c>
      <c r="F76" s="118">
        <v>5</v>
      </c>
      <c r="G76" s="127">
        <v>0</v>
      </c>
      <c r="H76" s="118">
        <v>0</v>
      </c>
      <c r="I76" s="141"/>
      <c r="J76" s="141"/>
      <c r="K76" s="118">
        <f>IFERROR(D76/L$51*1000,0)</f>
        <v>0</v>
      </c>
      <c r="L76" s="127">
        <f>+E76/K$51*1000</f>
        <v>113.31628193090944</v>
      </c>
      <c r="M76" s="118">
        <f t="shared" si="23"/>
        <v>15.491386788945348</v>
      </c>
      <c r="N76" s="383">
        <f t="shared" si="24"/>
        <v>0</v>
      </c>
      <c r="O76" s="118">
        <f t="shared" si="25"/>
        <v>0</v>
      </c>
    </row>
    <row r="77" spans="2:16" ht="15" thickBot="1" x14ac:dyDescent="0.35">
      <c r="B77" s="97"/>
      <c r="C77" s="97"/>
      <c r="D77" s="116"/>
      <c r="E77" s="125"/>
      <c r="F77" s="116"/>
      <c r="G77" s="125"/>
      <c r="H77" s="116"/>
      <c r="I77" s="141"/>
      <c r="J77" s="141"/>
      <c r="K77" s="116"/>
      <c r="L77" s="125"/>
      <c r="M77" s="116"/>
      <c r="N77" s="381"/>
      <c r="O77" s="116"/>
    </row>
    <row r="78" spans="2:16" ht="15.6" thickTop="1" thickBot="1" x14ac:dyDescent="0.35">
      <c r="B78" s="99" t="s">
        <v>42</v>
      </c>
      <c r="C78" s="99" t="s">
        <v>43</v>
      </c>
      <c r="D78" s="119">
        <f t="shared" ref="D78:M78" si="26">+D67+D54</f>
        <v>14819.843999999999</v>
      </c>
      <c r="E78" s="128">
        <f t="shared" si="26"/>
        <v>15927.021000000001</v>
      </c>
      <c r="F78" s="119">
        <f t="shared" si="26"/>
        <v>33211.463545999999</v>
      </c>
      <c r="G78" s="128">
        <f t="shared" ref="G78:H78" si="27">+G67+G54</f>
        <v>37837.531999999992</v>
      </c>
      <c r="H78" s="119">
        <f t="shared" si="27"/>
        <v>49095.1</v>
      </c>
      <c r="I78" s="141"/>
      <c r="J78" s="141"/>
      <c r="K78" s="119">
        <f t="shared" si="26"/>
        <v>45099.951308581862</v>
      </c>
      <c r="L78" s="128">
        <f t="shared" si="26"/>
        <v>51565.4514844433</v>
      </c>
      <c r="M78" s="119">
        <f t="shared" si="26"/>
        <v>102898.32552360889</v>
      </c>
      <c r="N78" s="384">
        <f t="shared" ref="N78" si="28">+N67+N54</f>
        <v>106115.29853885635</v>
      </c>
      <c r="O78" s="119">
        <f t="shared" ref="O78" si="29">+O67+O54</f>
        <v>139514.35066780334</v>
      </c>
      <c r="P78" s="203"/>
    </row>
    <row r="79" spans="2:16" ht="15" thickTop="1" x14ac:dyDescent="0.3">
      <c r="D79" s="113"/>
      <c r="E79" s="122"/>
      <c r="F79" s="142"/>
      <c r="G79" s="142"/>
      <c r="H79" s="150"/>
      <c r="I79" s="141"/>
      <c r="J79" s="141"/>
      <c r="K79" s="143"/>
      <c r="L79" s="143"/>
      <c r="M79" s="143"/>
      <c r="N79" s="143"/>
      <c r="O79" s="143"/>
    </row>
    <row r="80" spans="2:16" ht="18" x14ac:dyDescent="0.35">
      <c r="D80" s="113"/>
      <c r="E80" s="122"/>
      <c r="F80" s="142"/>
      <c r="G80" s="142"/>
      <c r="H80" s="150"/>
      <c r="I80" s="141"/>
      <c r="K80" s="419" t="s">
        <v>290</v>
      </c>
      <c r="L80" s="419"/>
      <c r="O80" s="106"/>
    </row>
    <row r="81" spans="2:16" x14ac:dyDescent="0.3">
      <c r="D81" s="113"/>
      <c r="E81" s="122"/>
      <c r="F81" s="142"/>
      <c r="G81" s="142"/>
      <c r="H81" s="150"/>
      <c r="I81" s="141"/>
      <c r="J81" t="s">
        <v>181</v>
      </c>
      <c r="K81" s="106">
        <v>308.87</v>
      </c>
      <c r="L81" s="106">
        <v>328.6</v>
      </c>
      <c r="M81" s="106">
        <v>322.76</v>
      </c>
      <c r="N81" s="106">
        <f>+N51</f>
        <v>356.57</v>
      </c>
      <c r="O81" s="106">
        <f>+O51</f>
        <v>351.9</v>
      </c>
    </row>
    <row r="82" spans="2:16" x14ac:dyDescent="0.3">
      <c r="B82" s="153"/>
      <c r="C82" s="153" t="s">
        <v>1</v>
      </c>
      <c r="D82" s="144">
        <v>42916</v>
      </c>
      <c r="E82" s="144">
        <v>43281</v>
      </c>
      <c r="F82" s="144">
        <v>43646</v>
      </c>
      <c r="G82" s="144">
        <v>44012</v>
      </c>
      <c r="H82" s="144" t="s">
        <v>466</v>
      </c>
      <c r="I82" s="145"/>
      <c r="J82" s="145"/>
      <c r="K82" s="144">
        <v>42916</v>
      </c>
      <c r="L82" s="144">
        <v>43281</v>
      </c>
      <c r="M82" s="144">
        <v>43646</v>
      </c>
      <c r="N82" s="144">
        <v>44012</v>
      </c>
      <c r="O82" s="144">
        <v>44377</v>
      </c>
    </row>
    <row r="83" spans="2:16" ht="15" customHeight="1" thickBot="1" x14ac:dyDescent="0.35">
      <c r="B83" s="153" t="s">
        <v>93</v>
      </c>
      <c r="C83" s="154" t="s">
        <v>166</v>
      </c>
      <c r="D83" s="146" t="s">
        <v>170</v>
      </c>
      <c r="E83" s="146" t="s">
        <v>170</v>
      </c>
      <c r="F83" s="146" t="s">
        <v>170</v>
      </c>
      <c r="G83" s="146" t="s">
        <v>170</v>
      </c>
      <c r="H83" s="146" t="s">
        <v>170</v>
      </c>
      <c r="I83" s="86"/>
      <c r="J83" s="86"/>
      <c r="K83" s="146" t="s">
        <v>170</v>
      </c>
      <c r="L83" s="146" t="s">
        <v>170</v>
      </c>
      <c r="M83" s="146" t="s">
        <v>170</v>
      </c>
      <c r="N83" s="146" t="s">
        <v>170</v>
      </c>
      <c r="O83" s="146" t="s">
        <v>170</v>
      </c>
    </row>
    <row r="84" spans="2:16" ht="15" thickBot="1" x14ac:dyDescent="0.35">
      <c r="B84" s="98" t="s">
        <v>44</v>
      </c>
      <c r="C84" s="98" t="s">
        <v>45</v>
      </c>
      <c r="D84" s="117">
        <f>+D85+D94</f>
        <v>4668.9340000000002</v>
      </c>
      <c r="E84" s="126">
        <f>+E85+E94</f>
        <v>5104.4380000000001</v>
      </c>
      <c r="F84" s="117">
        <f>+F85+F94</f>
        <v>6310.1572749999987</v>
      </c>
      <c r="G84" s="126">
        <f>+G85+G94</f>
        <v>7586.5889999999999</v>
      </c>
      <c r="H84" s="117">
        <f>+H85+H94</f>
        <v>14037</v>
      </c>
      <c r="I84" s="141"/>
      <c r="J84" s="141"/>
      <c r="K84" s="117">
        <f>+K85+K94</f>
        <v>14208.563603164943</v>
      </c>
      <c r="L84" s="126">
        <f>+L85+L94</f>
        <v>16526.169585909931</v>
      </c>
      <c r="M84" s="117">
        <f>+M85+M94</f>
        <v>19550.617409220471</v>
      </c>
      <c r="N84" s="382">
        <f>+N85+N94</f>
        <v>21276.576829234091</v>
      </c>
      <c r="O84" s="117">
        <f>+O85+O94</f>
        <v>39889.173060528563</v>
      </c>
      <c r="P84" s="203"/>
    </row>
    <row r="85" spans="2:16" ht="16.2" customHeight="1" x14ac:dyDescent="0.3">
      <c r="B85" s="100" t="s">
        <v>174</v>
      </c>
      <c r="C85" s="100" t="s">
        <v>47</v>
      </c>
      <c r="D85" s="120">
        <f>SUM(D86:D92)</f>
        <v>4698.5380000000005</v>
      </c>
      <c r="E85" s="129">
        <f>SUM(E86:E92)</f>
        <v>5131.0680000000002</v>
      </c>
      <c r="F85" s="120">
        <f>SUM(F86:F92)</f>
        <v>6317.2654119999988</v>
      </c>
      <c r="G85" s="129">
        <v>7580.9840000000004</v>
      </c>
      <c r="H85" s="120">
        <f>SUM(H86:H92)</f>
        <v>14027</v>
      </c>
      <c r="I85" s="141"/>
      <c r="J85" s="141"/>
      <c r="K85" s="120">
        <f>SUM(K86:K92)</f>
        <v>14298.65489957395</v>
      </c>
      <c r="L85" s="129">
        <f>SUM(L86:L92)</f>
        <v>16612.387088419076</v>
      </c>
      <c r="M85" s="120">
        <f>SUM(M86:M92)</f>
        <v>19572.640389143635</v>
      </c>
      <c r="N85" s="385">
        <f>SUM(N86:N92)</f>
        <v>21260.857615615445</v>
      </c>
      <c r="O85" s="120">
        <f>SUM(O86:O92)</f>
        <v>39860.755896561524</v>
      </c>
    </row>
    <row r="86" spans="2:16" x14ac:dyDescent="0.3">
      <c r="B86" s="97" t="s">
        <v>48</v>
      </c>
      <c r="C86" s="97" t="s">
        <v>49</v>
      </c>
      <c r="D86" s="115">
        <v>195.39</v>
      </c>
      <c r="E86" s="124">
        <v>195.39</v>
      </c>
      <c r="F86" s="115">
        <v>232.78190000000001</v>
      </c>
      <c r="G86" s="124">
        <v>232.97200000000001</v>
      </c>
      <c r="H86" s="115">
        <v>237</v>
      </c>
      <c r="I86" s="141"/>
      <c r="J86" s="141"/>
      <c r="K86" s="115">
        <f>+D86/L$51*1000</f>
        <v>594.61351186853301</v>
      </c>
      <c r="L86" s="124">
        <f t="shared" ref="L86:L92" si="30">+E86/K$51*1000</f>
        <v>632.59623789943987</v>
      </c>
      <c r="M86" s="115">
        <f t="shared" ref="M86:M94" si="31">F86/$M$51*1000</f>
        <v>721.2228900731194</v>
      </c>
      <c r="N86" s="380">
        <f t="shared" ref="N86:O94" si="32">G86/N$51*1000</f>
        <v>653.36960484617339</v>
      </c>
      <c r="O86" s="115">
        <f t="shared" si="32"/>
        <v>673.48678601875531</v>
      </c>
    </row>
    <row r="87" spans="2:16" x14ac:dyDescent="0.3">
      <c r="B87" s="97" t="s">
        <v>302</v>
      </c>
      <c r="C87" s="97" t="s">
        <v>50</v>
      </c>
      <c r="D87" s="115">
        <v>3080.8380000000002</v>
      </c>
      <c r="E87" s="124">
        <v>3080.8380000000002</v>
      </c>
      <c r="F87" s="115">
        <v>5042.9831169999998</v>
      </c>
      <c r="G87" s="124">
        <v>5057.8329999999996</v>
      </c>
      <c r="H87" s="115">
        <v>5413</v>
      </c>
      <c r="I87" s="141"/>
      <c r="J87" s="141"/>
      <c r="K87" s="118">
        <f>IFERROR(D87/L$51*1000,0)</f>
        <v>9375.6482045039575</v>
      </c>
      <c r="L87" s="124">
        <f t="shared" si="30"/>
        <v>9974.5459254702637</v>
      </c>
      <c r="M87" s="115">
        <f t="shared" si="31"/>
        <v>15624.560407113644</v>
      </c>
      <c r="N87" s="380">
        <f t="shared" si="32"/>
        <v>14184.68463415318</v>
      </c>
      <c r="O87" s="115">
        <f t="shared" si="32"/>
        <v>15382.210855356636</v>
      </c>
    </row>
    <row r="88" spans="2:16" x14ac:dyDescent="0.3">
      <c r="B88" s="97" t="s">
        <v>51</v>
      </c>
      <c r="C88" s="97" t="s">
        <v>52</v>
      </c>
      <c r="D88" s="115">
        <v>73.165999999999997</v>
      </c>
      <c r="E88" s="124">
        <v>83.74</v>
      </c>
      <c r="F88" s="115">
        <v>92.690111000000002</v>
      </c>
      <c r="G88" s="124">
        <v>66.748000000000005</v>
      </c>
      <c r="H88" s="115">
        <v>204</v>
      </c>
      <c r="I88" s="141"/>
      <c r="J88" s="141"/>
      <c r="K88" s="115">
        <f>+D88/L$51*1000</f>
        <v>222.65976871576382</v>
      </c>
      <c r="L88" s="124">
        <f t="shared" si="30"/>
        <v>271.11729853983871</v>
      </c>
      <c r="M88" s="115">
        <f t="shared" si="31"/>
        <v>287.17967220225552</v>
      </c>
      <c r="N88" s="380">
        <f t="shared" si="32"/>
        <v>187.19466023501698</v>
      </c>
      <c r="O88" s="115">
        <f t="shared" si="32"/>
        <v>579.71014492753625</v>
      </c>
    </row>
    <row r="89" spans="2:16" x14ac:dyDescent="0.3">
      <c r="B89" s="97" t="s">
        <v>53</v>
      </c>
      <c r="C89" s="97" t="s">
        <v>54</v>
      </c>
      <c r="D89" s="115">
        <v>1682.662</v>
      </c>
      <c r="E89" s="124">
        <v>2108.5790000000002</v>
      </c>
      <c r="F89" s="115">
        <v>2501.4978080000001</v>
      </c>
      <c r="G89" s="124">
        <v>3357.8470000000002</v>
      </c>
      <c r="H89" s="115">
        <v>5245</v>
      </c>
      <c r="I89" s="141"/>
      <c r="J89" s="141"/>
      <c r="K89" s="115">
        <f>+D89/L$51*1000</f>
        <v>5120.6999391357276</v>
      </c>
      <c r="L89" s="124">
        <f t="shared" si="30"/>
        <v>6826.7523553598603</v>
      </c>
      <c r="M89" s="115">
        <f t="shared" si="31"/>
        <v>7750.3340190853887</v>
      </c>
      <c r="N89" s="380">
        <f t="shared" si="32"/>
        <v>9417.076590851726</v>
      </c>
      <c r="O89" s="115">
        <f t="shared" si="32"/>
        <v>14904.80250071043</v>
      </c>
    </row>
    <row r="90" spans="2:16" x14ac:dyDescent="0.3">
      <c r="B90" s="97" t="s">
        <v>175</v>
      </c>
      <c r="C90" s="97" t="s">
        <v>56</v>
      </c>
      <c r="D90" s="115">
        <v>-182.42400000000001</v>
      </c>
      <c r="E90" s="124">
        <v>-182.42400000000001</v>
      </c>
      <c r="F90" s="115">
        <v>-192.53436500000001</v>
      </c>
      <c r="G90" s="124">
        <v>-192.53399999999999</v>
      </c>
      <c r="H90" s="115">
        <v>-514</v>
      </c>
      <c r="I90" s="141"/>
      <c r="J90" s="141"/>
      <c r="K90" s="115">
        <f>+D90/L$51*1000</f>
        <v>-555.15520389531343</v>
      </c>
      <c r="L90" s="124">
        <f t="shared" si="30"/>
        <v>-590.61741185612073</v>
      </c>
      <c r="M90" s="115">
        <f t="shared" si="31"/>
        <v>-596.52486367579627</v>
      </c>
      <c r="N90" s="380">
        <f t="shared" si="32"/>
        <v>-539.96129792186662</v>
      </c>
      <c r="O90" s="115">
        <f t="shared" si="32"/>
        <v>-1460.6422279056551</v>
      </c>
    </row>
    <row r="91" spans="2:16" x14ac:dyDescent="0.3">
      <c r="B91" s="97" t="s">
        <v>57</v>
      </c>
      <c r="C91" s="97" t="s">
        <v>58</v>
      </c>
      <c r="D91" s="115">
        <v>-151.09399999999999</v>
      </c>
      <c r="E91" s="124">
        <v>-155.22</v>
      </c>
      <c r="F91" s="115">
        <v>-1360.483714</v>
      </c>
      <c r="G91" s="124">
        <v>-940.82299999999998</v>
      </c>
      <c r="H91" s="115">
        <v>3442</v>
      </c>
      <c r="I91" s="141"/>
      <c r="J91" s="141"/>
      <c r="K91" s="115">
        <f>+D91/L$51*1000</f>
        <v>-459.81132075471692</v>
      </c>
      <c r="L91" s="124">
        <f t="shared" si="30"/>
        <v>-502.5415223233075</v>
      </c>
      <c r="M91" s="115">
        <f t="shared" si="31"/>
        <v>-4215.1558867269805</v>
      </c>
      <c r="N91" s="380">
        <f t="shared" si="32"/>
        <v>-2638.5366127268139</v>
      </c>
      <c r="O91" s="115">
        <f t="shared" si="32"/>
        <v>9781.1878374538228</v>
      </c>
    </row>
    <row r="92" spans="2:16" x14ac:dyDescent="0.3">
      <c r="B92" s="97" t="s">
        <v>176</v>
      </c>
      <c r="C92" s="97" t="s">
        <v>305</v>
      </c>
      <c r="D92" s="115" t="s">
        <v>12</v>
      </c>
      <c r="E92" s="124">
        <v>0.16500000000000001</v>
      </c>
      <c r="F92" s="115">
        <v>0.33055499999999999</v>
      </c>
      <c r="G92" s="124">
        <v>-1.0589999999999999</v>
      </c>
      <c r="H92" s="115">
        <v>0</v>
      </c>
      <c r="I92" s="141"/>
      <c r="J92" s="141"/>
      <c r="K92" s="118">
        <f>IFERROR(D92/L$51*1000,0)</f>
        <v>0</v>
      </c>
      <c r="L92" s="124">
        <f t="shared" si="30"/>
        <v>0.53420532910285889</v>
      </c>
      <c r="M92" s="115">
        <f t="shared" si="31"/>
        <v>1.0241510720039657</v>
      </c>
      <c r="N92" s="380">
        <f t="shared" si="32"/>
        <v>-2.9699638219704405</v>
      </c>
      <c r="O92" s="115">
        <f t="shared" si="32"/>
        <v>0</v>
      </c>
    </row>
    <row r="93" spans="2:16" x14ac:dyDescent="0.3">
      <c r="B93" s="97"/>
      <c r="C93" s="97"/>
      <c r="D93" s="121">
        <v>0</v>
      </c>
      <c r="E93" s="130">
        <v>0</v>
      </c>
      <c r="F93" s="121">
        <v>0</v>
      </c>
      <c r="G93" s="130">
        <v>0</v>
      </c>
      <c r="H93" s="121">
        <v>0</v>
      </c>
      <c r="I93" s="141"/>
      <c r="J93" s="141"/>
      <c r="K93" s="121"/>
      <c r="L93" s="130"/>
      <c r="M93" s="115">
        <f t="shared" si="31"/>
        <v>0</v>
      </c>
      <c r="N93" s="380">
        <f t="shared" si="32"/>
        <v>0</v>
      </c>
      <c r="O93" s="115">
        <f t="shared" si="32"/>
        <v>0</v>
      </c>
    </row>
    <row r="94" spans="2:16" x14ac:dyDescent="0.3">
      <c r="B94" s="100" t="s">
        <v>60</v>
      </c>
      <c r="C94" s="97" t="s">
        <v>61</v>
      </c>
      <c r="D94" s="120">
        <v>-29.603999999999999</v>
      </c>
      <c r="E94" s="129">
        <v>-26.63</v>
      </c>
      <c r="F94" s="120">
        <v>-7.1081370000000001</v>
      </c>
      <c r="G94" s="129">
        <v>5.6050000000000004</v>
      </c>
      <c r="H94" s="120">
        <v>10</v>
      </c>
      <c r="I94" s="141"/>
      <c r="J94" s="141"/>
      <c r="K94" s="120">
        <f>+D94/L$51*1000</f>
        <v>-90.091296409007896</v>
      </c>
      <c r="L94" s="129">
        <f>+E94/K$51*1000</f>
        <v>-86.217502509146243</v>
      </c>
      <c r="M94" s="120">
        <f t="shared" si="31"/>
        <v>-22.022979923162723</v>
      </c>
      <c r="N94" s="385">
        <f t="shared" si="32"/>
        <v>15.719213618644309</v>
      </c>
      <c r="O94" s="120">
        <f t="shared" si="32"/>
        <v>28.417163967036092</v>
      </c>
    </row>
    <row r="95" spans="2:16" ht="15" thickBot="1" x14ac:dyDescent="0.35">
      <c r="B95" s="97"/>
      <c r="C95" s="97"/>
      <c r="D95" s="116"/>
      <c r="E95" s="125"/>
      <c r="F95" s="116"/>
      <c r="G95" s="125"/>
      <c r="H95" s="116"/>
      <c r="I95" s="141"/>
      <c r="J95" s="141"/>
      <c r="K95" s="116"/>
      <c r="L95" s="125"/>
      <c r="M95" s="116"/>
      <c r="N95" s="381"/>
      <c r="O95" s="116"/>
    </row>
    <row r="96" spans="2:16" ht="15" thickBot="1" x14ac:dyDescent="0.35">
      <c r="B96" s="98" t="s">
        <v>62</v>
      </c>
      <c r="C96" s="98" t="s">
        <v>63</v>
      </c>
      <c r="D96" s="117">
        <f>SUM(D97:D103)</f>
        <v>6230.688000000001</v>
      </c>
      <c r="E96" s="126">
        <f>SUM(E97:E103)</f>
        <v>6529.851999999999</v>
      </c>
      <c r="F96" s="117">
        <f>SUM(F97:F103)</f>
        <v>19876.075740000004</v>
      </c>
      <c r="G96" s="126">
        <f>SUM(G97:G103)</f>
        <v>22014.203999999998</v>
      </c>
      <c r="H96" s="117">
        <f>SUM(H97:H103)</f>
        <v>24533</v>
      </c>
      <c r="I96" s="141"/>
      <c r="J96" s="141"/>
      <c r="K96" s="117">
        <f>SUM(K97:K103)</f>
        <v>18961.314668289713</v>
      </c>
      <c r="L96" s="126">
        <f>SUM(L97:L103)</f>
        <v>21141.101434260367</v>
      </c>
      <c r="M96" s="117">
        <f>SUM(M97:M103)</f>
        <v>61581.595426942629</v>
      </c>
      <c r="N96" s="382">
        <f>SUM(N97:N103)</f>
        <v>61738.800235577866</v>
      </c>
      <c r="O96" s="117">
        <f>SUM(O97:O103)</f>
        <v>69715.828360329644</v>
      </c>
      <c r="P96" s="203"/>
    </row>
    <row r="97" spans="2:16" x14ac:dyDescent="0.3">
      <c r="B97" s="97" t="s">
        <v>64</v>
      </c>
      <c r="C97" s="97" t="s">
        <v>24</v>
      </c>
      <c r="D97" s="118">
        <v>1900.8979999999999</v>
      </c>
      <c r="E97" s="127">
        <v>1629.498</v>
      </c>
      <c r="F97" s="118">
        <v>13278.101674</v>
      </c>
      <c r="G97" s="127">
        <v>8008.2060000000001</v>
      </c>
      <c r="H97" s="118">
        <v>12679</v>
      </c>
      <c r="I97" s="141"/>
      <c r="J97" s="141"/>
      <c r="K97" s="118">
        <f t="shared" ref="K97:K103" si="33">+D97/L$51*1000</f>
        <v>5784.8387096774186</v>
      </c>
      <c r="L97" s="127">
        <f t="shared" ref="L97:L103" si="34">+E97/K$51*1000</f>
        <v>5275.6758506815167</v>
      </c>
      <c r="M97" s="118">
        <f t="shared" ref="M97:M103" si="35">F97/$M$51*1000</f>
        <v>41139.241770975335</v>
      </c>
      <c r="N97" s="383">
        <f t="shared" ref="N97:O103" si="36">G97/N$51*1000</f>
        <v>22459.001037664413</v>
      </c>
      <c r="O97" s="118">
        <f t="shared" si="36"/>
        <v>36030.122193805066</v>
      </c>
    </row>
    <row r="98" spans="2:16" x14ac:dyDescent="0.3">
      <c r="B98" s="97" t="s">
        <v>65</v>
      </c>
      <c r="C98" s="97" t="s">
        <v>66</v>
      </c>
      <c r="D98" s="118">
        <v>3436.2719999999999</v>
      </c>
      <c r="E98" s="127">
        <v>3529.739</v>
      </c>
      <c r="F98" s="118">
        <v>4197.3175840000004</v>
      </c>
      <c r="G98" s="127">
        <v>10957.118</v>
      </c>
      <c r="H98" s="118">
        <v>7864</v>
      </c>
      <c r="I98" s="141"/>
      <c r="J98" s="141"/>
      <c r="K98" s="118">
        <f t="shared" si="33"/>
        <v>10457.309799147899</v>
      </c>
      <c r="L98" s="127">
        <f t="shared" si="34"/>
        <v>11427.91141904361</v>
      </c>
      <c r="M98" s="118">
        <f t="shared" si="35"/>
        <v>13004.454033957121</v>
      </c>
      <c r="N98" s="383">
        <f t="shared" si="36"/>
        <v>30729.220068990664</v>
      </c>
      <c r="O98" s="118">
        <f t="shared" si="36"/>
        <v>22347.257743677183</v>
      </c>
    </row>
    <row r="99" spans="2:16" x14ac:dyDescent="0.3">
      <c r="B99" s="97" t="s">
        <v>177</v>
      </c>
      <c r="C99" s="97" t="s">
        <v>68</v>
      </c>
      <c r="D99" s="118">
        <v>121.72499999999999</v>
      </c>
      <c r="E99" s="127">
        <v>101.464</v>
      </c>
      <c r="F99" s="118">
        <v>832.78013699999997</v>
      </c>
      <c r="G99" s="127">
        <v>939.17200000000003</v>
      </c>
      <c r="H99" s="118">
        <v>990</v>
      </c>
      <c r="I99" s="141"/>
      <c r="J99" s="141"/>
      <c r="K99" s="118">
        <f t="shared" si="33"/>
        <v>370.43517954960436</v>
      </c>
      <c r="L99" s="127">
        <f t="shared" si="34"/>
        <v>328.50066370965129</v>
      </c>
      <c r="M99" s="118">
        <f t="shared" si="35"/>
        <v>2580.1838424835792</v>
      </c>
      <c r="N99" s="383">
        <f t="shared" si="36"/>
        <v>2633.9063858428917</v>
      </c>
      <c r="O99" s="118">
        <f t="shared" si="36"/>
        <v>2813.2992327365728</v>
      </c>
    </row>
    <row r="100" spans="2:16" x14ac:dyDescent="0.3">
      <c r="B100" s="97" t="s">
        <v>69</v>
      </c>
      <c r="C100" s="97" t="s">
        <v>70</v>
      </c>
      <c r="D100" s="118">
        <v>234.131</v>
      </c>
      <c r="E100" s="127">
        <v>353.82499999999999</v>
      </c>
      <c r="F100" s="118">
        <v>590.39205900000002</v>
      </c>
      <c r="G100" s="127">
        <v>655.54700000000003</v>
      </c>
      <c r="H100" s="118">
        <v>1093</v>
      </c>
      <c r="I100" s="141"/>
      <c r="J100" s="141"/>
      <c r="K100" s="118">
        <f t="shared" si="33"/>
        <v>712.51065124771753</v>
      </c>
      <c r="L100" s="127">
        <f t="shared" si="34"/>
        <v>1145.5466701201151</v>
      </c>
      <c r="M100" s="118">
        <f t="shared" si="35"/>
        <v>1829.1983486181684</v>
      </c>
      <c r="N100" s="383">
        <f t="shared" si="36"/>
        <v>1838.4805227585048</v>
      </c>
      <c r="O100" s="118">
        <f t="shared" si="36"/>
        <v>3105.996021597045</v>
      </c>
    </row>
    <row r="101" spans="2:16" x14ac:dyDescent="0.3">
      <c r="B101" s="97" t="s">
        <v>71</v>
      </c>
      <c r="C101" s="97" t="s">
        <v>72</v>
      </c>
      <c r="D101" s="118">
        <v>289.25599999999997</v>
      </c>
      <c r="E101" s="127">
        <v>479.44099999999997</v>
      </c>
      <c r="F101" s="118">
        <v>532.14335300000005</v>
      </c>
      <c r="G101" s="127">
        <v>615.82399999999996</v>
      </c>
      <c r="H101" s="118">
        <v>876</v>
      </c>
      <c r="I101" s="141"/>
      <c r="J101" s="141"/>
      <c r="K101" s="118">
        <f t="shared" si="33"/>
        <v>880.2678027997564</v>
      </c>
      <c r="L101" s="127">
        <f t="shared" si="34"/>
        <v>1552.2420435782042</v>
      </c>
      <c r="M101" s="118">
        <f t="shared" si="35"/>
        <v>1648.727701697856</v>
      </c>
      <c r="N101" s="383">
        <f t="shared" si="36"/>
        <v>1727.0774322012508</v>
      </c>
      <c r="O101" s="118">
        <f t="shared" si="36"/>
        <v>2489.3435635123615</v>
      </c>
    </row>
    <row r="102" spans="2:16" x14ac:dyDescent="0.3">
      <c r="B102" s="97" t="s">
        <v>73</v>
      </c>
      <c r="C102" s="97" t="s">
        <v>74</v>
      </c>
      <c r="D102" s="118">
        <v>248.40600000000001</v>
      </c>
      <c r="E102" s="127">
        <v>160.53399999999999</v>
      </c>
      <c r="F102" s="118">
        <v>114.59032500000001</v>
      </c>
      <c r="G102" s="127">
        <v>487.80900000000003</v>
      </c>
      <c r="H102" s="118">
        <v>395</v>
      </c>
      <c r="I102" s="141"/>
      <c r="J102" s="141"/>
      <c r="K102" s="118">
        <f t="shared" si="33"/>
        <v>755.9525258673159</v>
      </c>
      <c r="L102" s="127">
        <f t="shared" si="34"/>
        <v>519.74617152847463</v>
      </c>
      <c r="M102" s="118">
        <f t="shared" si="35"/>
        <v>355.03260936919077</v>
      </c>
      <c r="N102" s="383">
        <f t="shared" si="36"/>
        <v>1368.0595675463444</v>
      </c>
      <c r="O102" s="118">
        <f t="shared" si="36"/>
        <v>1122.4779766979257</v>
      </c>
    </row>
    <row r="103" spans="2:16" x14ac:dyDescent="0.3">
      <c r="B103" s="97" t="s">
        <v>75</v>
      </c>
      <c r="C103" s="97" t="s">
        <v>76</v>
      </c>
      <c r="D103" s="116">
        <v>0</v>
      </c>
      <c r="E103" s="125">
        <v>275.351</v>
      </c>
      <c r="F103" s="116">
        <v>330.750608</v>
      </c>
      <c r="G103" s="125">
        <v>350.52800000000002</v>
      </c>
      <c r="H103" s="116">
        <v>636</v>
      </c>
      <c r="I103" s="141"/>
      <c r="J103" s="141"/>
      <c r="K103" s="116">
        <f t="shared" si="33"/>
        <v>0</v>
      </c>
      <c r="L103" s="125">
        <f t="shared" si="34"/>
        <v>891.47861559879561</v>
      </c>
      <c r="M103" s="118">
        <f t="shared" si="35"/>
        <v>1024.7571198413682</v>
      </c>
      <c r="N103" s="383">
        <f t="shared" si="36"/>
        <v>983.05522057380051</v>
      </c>
      <c r="O103" s="118">
        <f t="shared" si="36"/>
        <v>1807.3316283034956</v>
      </c>
    </row>
    <row r="104" spans="2:16" ht="15" thickBot="1" x14ac:dyDescent="0.35">
      <c r="B104" s="97"/>
      <c r="C104" s="97"/>
      <c r="D104" s="116"/>
      <c r="E104" s="125"/>
      <c r="F104" s="116"/>
      <c r="G104" s="125"/>
      <c r="H104" s="116"/>
      <c r="I104" s="141"/>
      <c r="J104" s="141"/>
      <c r="K104" s="116"/>
      <c r="L104" s="125"/>
      <c r="M104" s="116"/>
      <c r="N104" s="381"/>
      <c r="O104" s="116"/>
    </row>
    <row r="105" spans="2:16" ht="15" thickBot="1" x14ac:dyDescent="0.35">
      <c r="B105" s="98" t="s">
        <v>77</v>
      </c>
      <c r="C105" s="98" t="s">
        <v>78</v>
      </c>
      <c r="D105" s="114">
        <f>SUM(D106:D113)</f>
        <v>3920.2220000000002</v>
      </c>
      <c r="E105" s="123">
        <f>SUM(E106:E113)</f>
        <v>4292.7309999999989</v>
      </c>
      <c r="F105" s="114">
        <f>SUM(F106:F113)</f>
        <v>7025.2305310000002</v>
      </c>
      <c r="G105" s="123">
        <f>SUM(G106:G113)</f>
        <v>8236.7389999999996</v>
      </c>
      <c r="H105" s="114">
        <f>SUM(H106:H113)</f>
        <v>10525</v>
      </c>
      <c r="I105" s="141"/>
      <c r="J105" s="141"/>
      <c r="K105" s="114">
        <f>SUM(K106:K113)</f>
        <v>11930.073037127204</v>
      </c>
      <c r="L105" s="123">
        <f>SUM(L106:L113)</f>
        <v>13898.180464272995</v>
      </c>
      <c r="M105" s="114">
        <f>SUM(M106:M113)</f>
        <v>21766.11268744578</v>
      </c>
      <c r="N105" s="379">
        <f>SUM(N106:N113)</f>
        <v>23099.921474044368</v>
      </c>
      <c r="O105" s="114">
        <f>SUM(O106:O113)</f>
        <v>29909.065075305483</v>
      </c>
      <c r="P105" s="203"/>
    </row>
    <row r="106" spans="2:16" x14ac:dyDescent="0.3">
      <c r="B106" s="97" t="s">
        <v>178</v>
      </c>
      <c r="C106" s="97" t="s">
        <v>312</v>
      </c>
      <c r="D106" s="115">
        <v>341.05700000000002</v>
      </c>
      <c r="E106" s="124">
        <v>754.86</v>
      </c>
      <c r="F106" s="115">
        <v>1678.328323</v>
      </c>
      <c r="G106" s="124">
        <v>361.55500000000001</v>
      </c>
      <c r="H106" s="115">
        <v>2260</v>
      </c>
      <c r="I106" s="141"/>
      <c r="J106" s="141"/>
      <c r="K106" s="115">
        <f t="shared" ref="K106:K113" si="37">+D106/L$51*1000</f>
        <v>1037.9093122337188</v>
      </c>
      <c r="L106" s="124">
        <f t="shared" ref="L106:L113" si="38">+E106/K$51*1000</f>
        <v>2443.9408165247514</v>
      </c>
      <c r="M106" s="115">
        <f>F106/$M$51*1000</f>
        <v>5199.9266420869999</v>
      </c>
      <c r="N106" s="380">
        <f t="shared" ref="N106:O113" si="39">G106/N$51*1000</f>
        <v>1013.9804246010602</v>
      </c>
      <c r="O106" s="115">
        <f t="shared" si="39"/>
        <v>6422.2790565501573</v>
      </c>
    </row>
    <row r="107" spans="2:16" x14ac:dyDescent="0.3">
      <c r="B107" s="97" t="s">
        <v>80</v>
      </c>
      <c r="C107" s="97" t="s">
        <v>179</v>
      </c>
      <c r="D107" s="115">
        <v>1077.817</v>
      </c>
      <c r="E107" s="124">
        <v>74.227999999999994</v>
      </c>
      <c r="F107" s="115">
        <v>96.534999999999997</v>
      </c>
      <c r="G107" s="124">
        <v>2391.13</v>
      </c>
      <c r="H107" s="115">
        <v>1002</v>
      </c>
      <c r="I107" s="141"/>
      <c r="J107" s="141"/>
      <c r="K107" s="115">
        <f t="shared" si="37"/>
        <v>3280.0273889227019</v>
      </c>
      <c r="L107" s="124">
        <f t="shared" si="38"/>
        <v>240.32117071907271</v>
      </c>
      <c r="M107" s="115">
        <f t="shared" ref="M107:M113" si="40">F107/$M$51*1000</f>
        <v>299.09220473416781</v>
      </c>
      <c r="N107" s="380">
        <f t="shared" si="39"/>
        <v>6705.9202961550327</v>
      </c>
      <c r="O107" s="115">
        <f t="shared" si="39"/>
        <v>2847.3998294970161</v>
      </c>
    </row>
    <row r="108" spans="2:16" x14ac:dyDescent="0.3">
      <c r="B108" s="97" t="s">
        <v>338</v>
      </c>
      <c r="C108" s="97" t="s">
        <v>412</v>
      </c>
      <c r="D108" s="115"/>
      <c r="E108" s="124"/>
      <c r="F108" s="115"/>
      <c r="G108" s="124">
        <v>108.55500000000001</v>
      </c>
      <c r="H108" s="115">
        <v>155</v>
      </c>
      <c r="I108" s="141"/>
      <c r="J108" s="141"/>
      <c r="K108" s="115"/>
      <c r="L108" s="124"/>
      <c r="M108" s="115"/>
      <c r="N108" s="380">
        <f t="shared" si="39"/>
        <v>304.44232549008609</v>
      </c>
      <c r="O108" s="115">
        <f t="shared" si="39"/>
        <v>440.46604148905942</v>
      </c>
    </row>
    <row r="109" spans="2:16" x14ac:dyDescent="0.3">
      <c r="B109" s="97" t="s">
        <v>89</v>
      </c>
      <c r="C109" s="97" t="s">
        <v>90</v>
      </c>
      <c r="D109" s="115">
        <v>59.829000000000001</v>
      </c>
      <c r="E109" s="124">
        <v>405.03399999999999</v>
      </c>
      <c r="F109" s="115">
        <v>156.95516000000001</v>
      </c>
      <c r="G109" s="124">
        <v>482.43299999999999</v>
      </c>
      <c r="H109" s="115">
        <v>35</v>
      </c>
      <c r="I109" s="141"/>
      <c r="J109" s="141"/>
      <c r="K109" s="115">
        <f>+D109/L$51*1000</f>
        <v>182.07242848447962</v>
      </c>
      <c r="L109" s="124">
        <f>+E109/K$51*1000</f>
        <v>1311.3413410172564</v>
      </c>
      <c r="M109" s="115">
        <f>F109/$M$51*1000</f>
        <v>486.29061841616067</v>
      </c>
      <c r="N109" s="380">
        <f t="shared" si="39"/>
        <v>1352.98258406484</v>
      </c>
      <c r="O109" s="115">
        <f t="shared" si="39"/>
        <v>99.460073884626325</v>
      </c>
    </row>
    <row r="110" spans="2:16" x14ac:dyDescent="0.3">
      <c r="B110" s="97" t="s">
        <v>81</v>
      </c>
      <c r="C110" s="97" t="s">
        <v>82</v>
      </c>
      <c r="D110" s="115">
        <v>938.822</v>
      </c>
      <c r="E110" s="124">
        <v>631.53899999999999</v>
      </c>
      <c r="F110" s="115">
        <v>355.83098100000001</v>
      </c>
      <c r="G110" s="124">
        <v>625.83100000000002</v>
      </c>
      <c r="H110" s="115">
        <v>1745</v>
      </c>
      <c r="I110" s="141"/>
      <c r="J110" s="141"/>
      <c r="K110" s="115">
        <f t="shared" si="37"/>
        <v>2857.0359099208763</v>
      </c>
      <c r="L110" s="124">
        <f t="shared" si="38"/>
        <v>2044.6757535532747</v>
      </c>
      <c r="M110" s="115">
        <f t="shared" si="40"/>
        <v>1102.4630716321726</v>
      </c>
      <c r="N110" s="380">
        <f t="shared" si="39"/>
        <v>1755.142047844743</v>
      </c>
      <c r="O110" s="115">
        <f t="shared" si="39"/>
        <v>4958.795112247798</v>
      </c>
    </row>
    <row r="111" spans="2:16" x14ac:dyDescent="0.3">
      <c r="B111" s="97" t="s">
        <v>83</v>
      </c>
      <c r="C111" s="97" t="s">
        <v>84</v>
      </c>
      <c r="D111" s="115">
        <v>139.31</v>
      </c>
      <c r="E111" s="124">
        <v>834.55399999999997</v>
      </c>
      <c r="F111" s="115">
        <v>564.485771</v>
      </c>
      <c r="G111" s="124">
        <v>972.18299999999999</v>
      </c>
      <c r="H111" s="115">
        <v>403</v>
      </c>
      <c r="I111" s="141"/>
      <c r="J111" s="141"/>
      <c r="K111" s="115">
        <f t="shared" si="37"/>
        <v>423.95009129640897</v>
      </c>
      <c r="L111" s="124">
        <f t="shared" si="38"/>
        <v>2701.9587528733769</v>
      </c>
      <c r="M111" s="115">
        <f t="shared" si="40"/>
        <v>1748.9334830834055</v>
      </c>
      <c r="N111" s="380">
        <f t="shared" si="39"/>
        <v>2726.4856830355893</v>
      </c>
      <c r="O111" s="115">
        <f t="shared" si="39"/>
        <v>1145.2117078715544</v>
      </c>
    </row>
    <row r="112" spans="2:16" ht="18" customHeight="1" x14ac:dyDescent="0.3">
      <c r="B112" s="97" t="s">
        <v>85</v>
      </c>
      <c r="C112" s="97" t="s">
        <v>86</v>
      </c>
      <c r="D112" s="115">
        <v>1325.915</v>
      </c>
      <c r="E112" s="124">
        <v>1539.8879999999999</v>
      </c>
      <c r="F112" s="115">
        <v>477.98033900000001</v>
      </c>
      <c r="G112" s="124">
        <v>3215.2779999999998</v>
      </c>
      <c r="H112" s="115">
        <v>4604</v>
      </c>
      <c r="I112" s="141"/>
      <c r="J112" s="141"/>
      <c r="K112" s="115">
        <f t="shared" si="37"/>
        <v>4035.0426049908697</v>
      </c>
      <c r="L112" s="124">
        <f t="shared" si="38"/>
        <v>4985.5537928578369</v>
      </c>
      <c r="M112" s="115">
        <f t="shared" si="40"/>
        <v>1480.9156617920439</v>
      </c>
      <c r="N112" s="380">
        <f t="shared" si="39"/>
        <v>9017.2420562582392</v>
      </c>
      <c r="O112" s="115">
        <f t="shared" si="39"/>
        <v>13083.262290423416</v>
      </c>
    </row>
    <row r="113" spans="2:15" x14ac:dyDescent="0.3">
      <c r="B113" s="97" t="s">
        <v>87</v>
      </c>
      <c r="C113" s="97" t="s">
        <v>88</v>
      </c>
      <c r="D113" s="115">
        <v>37.472000000000001</v>
      </c>
      <c r="E113" s="124">
        <v>52.628</v>
      </c>
      <c r="F113" s="115">
        <v>3695.1149569999998</v>
      </c>
      <c r="G113" s="124">
        <v>79.774000000000001</v>
      </c>
      <c r="H113" s="115">
        <v>321</v>
      </c>
      <c r="I113" s="141"/>
      <c r="J113" s="141"/>
      <c r="K113" s="115">
        <f t="shared" si="37"/>
        <v>114.03530127814972</v>
      </c>
      <c r="L113" s="124">
        <f t="shared" si="38"/>
        <v>170.38883672742577</v>
      </c>
      <c r="M113" s="115">
        <f t="shared" si="40"/>
        <v>11448.491005700831</v>
      </c>
      <c r="N113" s="380">
        <f t="shared" si="39"/>
        <v>223.72605659477804</v>
      </c>
      <c r="O113" s="115">
        <f t="shared" si="39"/>
        <v>912.19096334185861</v>
      </c>
    </row>
    <row r="114" spans="2:15" ht="15" thickBot="1" x14ac:dyDescent="0.35">
      <c r="B114" s="97"/>
      <c r="C114" s="97"/>
      <c r="D114" s="116"/>
      <c r="E114" s="125"/>
      <c r="F114" s="116"/>
      <c r="G114" s="125"/>
      <c r="H114" s="116"/>
      <c r="I114" s="141"/>
      <c r="J114" s="141"/>
      <c r="K114" s="116"/>
      <c r="L114" s="125"/>
      <c r="M114" s="116"/>
      <c r="N114" s="381"/>
      <c r="O114" s="116"/>
    </row>
    <row r="115" spans="2:15" ht="30" thickTop="1" thickBot="1" x14ac:dyDescent="0.35">
      <c r="B115" s="99" t="s">
        <v>91</v>
      </c>
      <c r="C115" s="99" t="s">
        <v>92</v>
      </c>
      <c r="D115" s="119">
        <f>+D105+D96+D84</f>
        <v>14819.844000000001</v>
      </c>
      <c r="E115" s="128">
        <f>+E105+E96+E84</f>
        <v>15927.020999999999</v>
      </c>
      <c r="F115" s="119">
        <f>+F105+F96+F84</f>
        <v>33211.463546000006</v>
      </c>
      <c r="G115" s="128">
        <f>+G105+G96+G84</f>
        <v>37837.531999999999</v>
      </c>
      <c r="H115" s="119">
        <f>+H105+H96+H84</f>
        <v>49095</v>
      </c>
      <c r="I115" s="141"/>
      <c r="J115" s="141"/>
      <c r="K115" s="119">
        <f>+K105+K96+K84</f>
        <v>45099.951308581862</v>
      </c>
      <c r="L115" s="128">
        <f>+L105+L96+L84</f>
        <v>51565.451484443285</v>
      </c>
      <c r="M115" s="119">
        <f>+M105+M96+M84</f>
        <v>102898.32552360889</v>
      </c>
      <c r="N115" s="384">
        <f>+N105+N96+N84</f>
        <v>106115.29853885632</v>
      </c>
      <c r="O115" s="119">
        <f>+O105+O96+O84</f>
        <v>139514.06649616369</v>
      </c>
    </row>
    <row r="116" spans="2:15" ht="15" thickTop="1" x14ac:dyDescent="0.3">
      <c r="H116" s="150"/>
    </row>
    <row r="117" spans="2:15" x14ac:dyDescent="0.3">
      <c r="H117" s="150"/>
    </row>
    <row r="140" spans="4:8" x14ac:dyDescent="0.3">
      <c r="D140" s="122"/>
      <c r="E140" s="106"/>
      <c r="F140" s="122"/>
      <c r="G140" s="122"/>
      <c r="H140" s="122"/>
    </row>
    <row r="141" spans="4:8" x14ac:dyDescent="0.3">
      <c r="D141" s="122"/>
      <c r="E141" s="106"/>
      <c r="F141" s="122"/>
      <c r="G141" s="122"/>
      <c r="H141" s="122"/>
    </row>
  </sheetData>
  <mergeCells count="4">
    <mergeCell ref="K50:L50"/>
    <mergeCell ref="K1:L1"/>
    <mergeCell ref="K27:L27"/>
    <mergeCell ref="K80:L80"/>
  </mergeCells>
  <phoneticPr fontId="3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D4B6-3BE3-42DC-9BC7-CD40A290BB7B}">
  <dimension ref="A1:AR51"/>
  <sheetViews>
    <sheetView zoomScale="80" zoomScaleNormal="80" workbookViewId="0">
      <pane xSplit="3" ySplit="4" topLeftCell="U29" activePane="bottomRight" state="frozen"/>
      <selection pane="topRight" activeCell="D1" sqref="D1"/>
      <selection pane="bottomLeft" activeCell="A5" sqref="A5"/>
      <selection pane="bottomRight" activeCell="AL15" sqref="AL15:AR16"/>
    </sheetView>
  </sheetViews>
  <sheetFormatPr defaultColWidth="8.77734375" defaultRowHeight="14.4" outlineLevelRow="2" outlineLevelCol="2" x14ac:dyDescent="0.3"/>
  <cols>
    <col min="1" max="1" width="18.6640625" bestFit="1" customWidth="1"/>
    <col min="2" max="3" width="36.44140625" style="90" customWidth="1"/>
    <col min="4" max="11" width="11.77734375" hidden="1" customWidth="1" outlineLevel="2"/>
    <col min="12" max="12" width="11.77734375" hidden="1" customWidth="1" outlineLevel="2" collapsed="1"/>
    <col min="13" max="13" width="11.77734375" hidden="1" customWidth="1" outlineLevel="2"/>
    <col min="14" max="14" width="12" hidden="1" customWidth="1" outlineLevel="2"/>
    <col min="15" max="15" width="13.6640625" hidden="1" customWidth="1" outlineLevel="2"/>
    <col min="16" max="16" width="14" customWidth="1" outlineLevel="1" collapsed="1"/>
    <col min="17" max="23" width="14" customWidth="1" outlineLevel="1"/>
    <col min="24" max="24" width="10.44140625" customWidth="1"/>
    <col min="25" max="25" width="15.44140625" bestFit="1" customWidth="1"/>
    <col min="26" max="27" width="15.44140625" style="106" hidden="1" customWidth="1" outlineLevel="1"/>
    <col min="28" max="33" width="15.44140625" hidden="1" customWidth="1" outlineLevel="1"/>
    <col min="34" max="34" width="13.6640625" hidden="1" customWidth="1" outlineLevel="1"/>
    <col min="35" max="35" width="14" hidden="1" customWidth="1" outlineLevel="1" collapsed="1"/>
    <col min="36" max="36" width="13.6640625" hidden="1" customWidth="1" outlineLevel="1"/>
    <col min="37" max="37" width="9.77734375" bestFit="1" customWidth="1" collapsed="1"/>
    <col min="38" max="39" width="9.77734375" bestFit="1" customWidth="1"/>
    <col min="40" max="40" width="9.6640625" bestFit="1" customWidth="1"/>
    <col min="41" max="41" width="9.44140625" customWidth="1"/>
    <col min="42" max="44" width="10.109375" customWidth="1"/>
  </cols>
  <sheetData>
    <row r="1" spans="1:44" ht="18" x14ac:dyDescent="0.35">
      <c r="A1" s="269"/>
      <c r="Y1" s="420" t="s">
        <v>290</v>
      </c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</row>
    <row r="2" spans="1:44" x14ac:dyDescent="0.3">
      <c r="B2" s="270"/>
      <c r="C2" s="90" t="s">
        <v>315</v>
      </c>
      <c r="X2" s="188" t="s">
        <v>320</v>
      </c>
      <c r="Y2" s="188">
        <v>309.11</v>
      </c>
      <c r="Z2" s="186">
        <v>309.45999999999998</v>
      </c>
      <c r="AA2" s="187">
        <v>308.42</v>
      </c>
      <c r="AB2" s="188">
        <f>'éves P&amp;L_mérleg'!Q68</f>
        <v>311.45999999999998</v>
      </c>
      <c r="AC2" s="188">
        <v>311.02999999999997</v>
      </c>
      <c r="AD2" s="188">
        <v>314.08</v>
      </c>
      <c r="AE2" s="188">
        <v>317.54000000000002</v>
      </c>
      <c r="AF2" s="188">
        <f>'éves P&amp;L_mérleg'!R68</f>
        <v>318.87</v>
      </c>
      <c r="AG2" s="188">
        <v>318.07</v>
      </c>
      <c r="AH2" s="188">
        <v>320.57</v>
      </c>
      <c r="AI2" s="188">
        <v>323.16000000000003</v>
      </c>
      <c r="AJ2" s="188">
        <v>325.35000000000002</v>
      </c>
      <c r="AK2" s="188">
        <v>339.05</v>
      </c>
      <c r="AL2" s="188">
        <v>345.15</v>
      </c>
      <c r="AM2" s="188">
        <v>348.03</v>
      </c>
      <c r="AN2" s="188">
        <v>360.58</v>
      </c>
      <c r="AO2" s="188">
        <v>361.1</v>
      </c>
      <c r="AP2" s="188">
        <v>354.75</v>
      </c>
      <c r="AQ2" s="188">
        <v>353.89</v>
      </c>
      <c r="AR2" s="188">
        <v>358.52</v>
      </c>
    </row>
    <row r="3" spans="1:44" outlineLevel="1" x14ac:dyDescent="0.3">
      <c r="A3" s="1" t="s">
        <v>310</v>
      </c>
      <c r="B3" s="153"/>
      <c r="C3" s="153" t="s">
        <v>309</v>
      </c>
      <c r="D3" s="101" t="s">
        <v>291</v>
      </c>
      <c r="E3" s="101" t="s">
        <v>293</v>
      </c>
      <c r="F3" s="101" t="s">
        <v>294</v>
      </c>
      <c r="G3" s="101" t="s">
        <v>295</v>
      </c>
      <c r="H3" s="101" t="s">
        <v>296</v>
      </c>
      <c r="I3" s="101" t="s">
        <v>292</v>
      </c>
      <c r="J3" s="101" t="s">
        <v>297</v>
      </c>
      <c r="K3" s="101" t="s">
        <v>300</v>
      </c>
      <c r="L3" s="101" t="s">
        <v>301</v>
      </c>
      <c r="M3" s="101" t="s">
        <v>299</v>
      </c>
      <c r="N3" s="101" t="s">
        <v>298</v>
      </c>
      <c r="O3" s="101" t="s">
        <v>318</v>
      </c>
      <c r="P3" s="101" t="s">
        <v>317</v>
      </c>
      <c r="Q3" s="101" t="s">
        <v>319</v>
      </c>
      <c r="R3" s="101" t="s">
        <v>409</v>
      </c>
      <c r="S3" s="101" t="s">
        <v>439</v>
      </c>
      <c r="T3" s="101" t="s">
        <v>444</v>
      </c>
      <c r="U3" s="101" t="s">
        <v>467</v>
      </c>
      <c r="V3" s="101" t="s">
        <v>468</v>
      </c>
      <c r="W3" s="101" t="s">
        <v>469</v>
      </c>
      <c r="Y3" s="101" t="s">
        <v>291</v>
      </c>
      <c r="Z3" s="101" t="s">
        <v>293</v>
      </c>
      <c r="AA3" s="101" t="s">
        <v>294</v>
      </c>
      <c r="AB3" s="101" t="s">
        <v>295</v>
      </c>
      <c r="AC3" s="101" t="s">
        <v>296</v>
      </c>
      <c r="AD3" s="101" t="s">
        <v>292</v>
      </c>
      <c r="AE3" s="101" t="s">
        <v>297</v>
      </c>
      <c r="AF3" s="101" t="s">
        <v>300</v>
      </c>
      <c r="AG3" s="101" t="s">
        <v>301</v>
      </c>
      <c r="AH3" s="101" t="s">
        <v>299</v>
      </c>
      <c r="AI3" s="101" t="s">
        <v>298</v>
      </c>
      <c r="AJ3" s="101" t="s">
        <v>336</v>
      </c>
      <c r="AK3" s="101" t="s">
        <v>317</v>
      </c>
      <c r="AL3" s="101" t="s">
        <v>319</v>
      </c>
      <c r="AM3" s="101" t="s">
        <v>409</v>
      </c>
      <c r="AN3" s="137" t="s">
        <v>439</v>
      </c>
      <c r="AO3" s="137" t="s">
        <v>444</v>
      </c>
      <c r="AP3" s="137" t="s">
        <v>467</v>
      </c>
      <c r="AQ3" s="137" t="s">
        <v>468</v>
      </c>
      <c r="AR3" s="137" t="s">
        <v>469</v>
      </c>
    </row>
    <row r="4" spans="1:44" outlineLevel="1" x14ac:dyDescent="0.3">
      <c r="B4" s="153" t="s">
        <v>93</v>
      </c>
      <c r="C4" s="154" t="s">
        <v>166</v>
      </c>
      <c r="D4" s="135" t="s">
        <v>170</v>
      </c>
      <c r="E4" s="135" t="s">
        <v>170</v>
      </c>
      <c r="F4" s="135" t="s">
        <v>170</v>
      </c>
      <c r="G4" s="135" t="s">
        <v>170</v>
      </c>
      <c r="H4" s="135" t="s">
        <v>170</v>
      </c>
      <c r="I4" s="135" t="s">
        <v>170</v>
      </c>
      <c r="J4" s="135" t="s">
        <v>170</v>
      </c>
      <c r="K4" s="135" t="s">
        <v>170</v>
      </c>
      <c r="L4" s="135" t="s">
        <v>170</v>
      </c>
      <c r="M4" s="135" t="s">
        <v>170</v>
      </c>
      <c r="N4" s="135" t="s">
        <v>170</v>
      </c>
      <c r="O4" s="135" t="s">
        <v>440</v>
      </c>
      <c r="P4" s="135" t="s">
        <v>170</v>
      </c>
      <c r="Q4" s="135" t="s">
        <v>170</v>
      </c>
      <c r="R4" s="135" t="s">
        <v>170</v>
      </c>
      <c r="S4" s="135" t="s">
        <v>440</v>
      </c>
      <c r="T4" s="316" t="s">
        <v>170</v>
      </c>
      <c r="U4" s="316" t="s">
        <v>170</v>
      </c>
      <c r="V4" s="316" t="s">
        <v>170</v>
      </c>
      <c r="W4" s="316" t="s">
        <v>440</v>
      </c>
      <c r="Y4" s="136" t="s">
        <v>180</v>
      </c>
      <c r="Z4" s="101" t="s">
        <v>180</v>
      </c>
      <c r="AA4" s="135" t="s">
        <v>180</v>
      </c>
      <c r="AB4" s="135" t="s">
        <v>180</v>
      </c>
      <c r="AC4" s="135" t="s">
        <v>180</v>
      </c>
      <c r="AD4" s="135" t="s">
        <v>180</v>
      </c>
      <c r="AE4" s="135" t="s">
        <v>180</v>
      </c>
      <c r="AF4" s="135" t="s">
        <v>180</v>
      </c>
      <c r="AG4" s="135" t="s">
        <v>180</v>
      </c>
      <c r="AH4" s="135" t="s">
        <v>180</v>
      </c>
      <c r="AI4" s="135" t="s">
        <v>180</v>
      </c>
      <c r="AJ4" s="135" t="s">
        <v>180</v>
      </c>
      <c r="AK4" s="135" t="s">
        <v>180</v>
      </c>
      <c r="AL4" s="135" t="s">
        <v>180</v>
      </c>
      <c r="AM4" s="135" t="s">
        <v>180</v>
      </c>
      <c r="AN4" s="101" t="s">
        <v>441</v>
      </c>
      <c r="AO4" s="101" t="s">
        <v>316</v>
      </c>
      <c r="AP4" s="101" t="s">
        <v>316</v>
      </c>
      <c r="AQ4" s="101" t="s">
        <v>316</v>
      </c>
      <c r="AR4" s="101" t="s">
        <v>316</v>
      </c>
    </row>
    <row r="5" spans="1:44" ht="14.55" customHeight="1" outlineLevel="1" x14ac:dyDescent="0.3">
      <c r="B5" s="92" t="s">
        <v>97</v>
      </c>
      <c r="C5" s="92" t="s">
        <v>141</v>
      </c>
      <c r="D5" s="160">
        <v>4707.8136949999998</v>
      </c>
      <c r="E5" s="164">
        <v>8634.7703390000006</v>
      </c>
      <c r="F5" s="160">
        <v>12379.406604</v>
      </c>
      <c r="G5" s="164">
        <v>18389.28427</v>
      </c>
      <c r="H5" s="160">
        <v>5191.0879359999999</v>
      </c>
      <c r="I5" s="164">
        <v>9276.6434790000003</v>
      </c>
      <c r="J5" s="160">
        <v>12804</v>
      </c>
      <c r="K5" s="164">
        <v>18685.766845999999</v>
      </c>
      <c r="L5" s="160">
        <v>6494.3898570000001</v>
      </c>
      <c r="M5" s="164">
        <v>12141.442588</v>
      </c>
      <c r="N5" s="107">
        <v>17995</v>
      </c>
      <c r="O5" s="102">
        <v>25573</v>
      </c>
      <c r="P5" s="160">
        <v>9058</v>
      </c>
      <c r="Q5" s="164">
        <v>16163.527</v>
      </c>
      <c r="R5" s="107">
        <v>23469.258999999998</v>
      </c>
      <c r="S5" s="164">
        <v>32981.300999999999</v>
      </c>
      <c r="T5" s="107">
        <v>9483.7520000000004</v>
      </c>
      <c r="U5" s="386">
        <v>19781</v>
      </c>
      <c r="V5" s="386">
        <v>29049.57</v>
      </c>
      <c r="W5" s="386">
        <v>44249.447999999997</v>
      </c>
      <c r="Y5" s="131">
        <f t="shared" ref="Y5:Y24" si="0">+D5/Y$2*1000</f>
        <v>15230.221264274853</v>
      </c>
      <c r="Z5" s="102">
        <f t="shared" ref="Z5:Z24" si="1">+E5/Z$2*1000</f>
        <v>27902.702575454023</v>
      </c>
      <c r="AA5" s="107">
        <f t="shared" ref="AA5:AA24" si="2">+F5/AA$2*1000</f>
        <v>40138.144750664673</v>
      </c>
      <c r="AB5" s="180">
        <f t="shared" ref="AB5:AB24" si="3">+G5/AB$2*1000</f>
        <v>59042.202112630839</v>
      </c>
      <c r="AC5" s="107">
        <f t="shared" ref="AC5:AC24" si="4">+H5/AC$2*1000</f>
        <v>16689.991113397424</v>
      </c>
      <c r="AD5" s="180">
        <f t="shared" ref="AD5:AD24" si="5">+I5/AD$2*1000</f>
        <v>29535.925493504841</v>
      </c>
      <c r="AE5" s="107">
        <f t="shared" ref="AE5:AE24" si="6">+J5/AE$2*1000</f>
        <v>40322.4790577565</v>
      </c>
      <c r="AF5" s="180">
        <f t="shared" ref="AF5:AF24" si="7">+K5/AF$2*1000</f>
        <v>58599.95247593063</v>
      </c>
      <c r="AG5" s="107">
        <f t="shared" ref="AG5:AG15" si="8">+L5/AG$2*1000</f>
        <v>20418.115059578082</v>
      </c>
      <c r="AH5" s="180">
        <f t="shared" ref="AH5:AH15" si="9">+M5/AH$2*1000</f>
        <v>37874.544055900427</v>
      </c>
      <c r="AI5" s="107">
        <f t="shared" ref="AI5:AI15" si="10">+N5/AI$2*1000</f>
        <v>55684.490654784007</v>
      </c>
      <c r="AJ5" s="180">
        <f t="shared" ref="AJ5:AJ15" si="11">+O5/AJ$2*1000</f>
        <v>78601.506070385745</v>
      </c>
      <c r="AK5" s="180">
        <f t="shared" ref="AK5:AK24" si="12">+P5/AK$2*1000</f>
        <v>26715.823624834095</v>
      </c>
      <c r="AL5" s="180">
        <f t="shared" ref="AL5:AL24" si="13">+Q5/AL$2*1000</f>
        <v>46830.441836882521</v>
      </c>
      <c r="AM5" s="180">
        <f t="shared" ref="AM5:AR10" si="14">+R5/AM$2*1000</f>
        <v>67434.586098899512</v>
      </c>
      <c r="AN5" s="180">
        <f t="shared" si="14"/>
        <v>91467.360918520164</v>
      </c>
      <c r="AO5" s="180">
        <f t="shared" si="14"/>
        <v>26263.505954029355</v>
      </c>
      <c r="AP5" s="180">
        <f t="shared" si="14"/>
        <v>55760.394644115571</v>
      </c>
      <c r="AQ5" s="180">
        <f t="shared" si="14"/>
        <v>82086.439289044618</v>
      </c>
      <c r="AR5" s="180">
        <f>+W5/AR$2*1000</f>
        <v>123422.53709695414</v>
      </c>
    </row>
    <row r="6" spans="1:44" outlineLevel="1" x14ac:dyDescent="0.3">
      <c r="B6" s="93" t="s">
        <v>169</v>
      </c>
      <c r="C6" s="93" t="s">
        <v>142</v>
      </c>
      <c r="D6" s="174">
        <v>-3866.575609</v>
      </c>
      <c r="E6" s="165">
        <v>-6551.1668120000004</v>
      </c>
      <c r="F6" s="174">
        <v>-9664.6009780000004</v>
      </c>
      <c r="G6" s="165">
        <v>-14606.384983</v>
      </c>
      <c r="H6" s="174">
        <v>-4157.878565</v>
      </c>
      <c r="I6" s="165">
        <v>-7213.7795980000001</v>
      </c>
      <c r="J6" s="174">
        <v>-9801</v>
      </c>
      <c r="K6" s="165">
        <v>-14264.354327999999</v>
      </c>
      <c r="L6" s="174">
        <v>-5192.2275600000003</v>
      </c>
      <c r="M6" s="165">
        <v>-8379.8780210000004</v>
      </c>
      <c r="N6" s="108">
        <v>-12710</v>
      </c>
      <c r="O6" s="103">
        <f>+'éves P&amp;L_mérleg'!J72</f>
        <v>-18211.867753999999</v>
      </c>
      <c r="P6" s="174">
        <v>-6602</v>
      </c>
      <c r="Q6" s="165">
        <v>-10936.562</v>
      </c>
      <c r="R6" s="108">
        <v>-16031.668</v>
      </c>
      <c r="S6" s="165">
        <v>-23072.429</v>
      </c>
      <c r="T6" s="108">
        <v>-5935.07</v>
      </c>
      <c r="U6" s="387">
        <v>-10983</v>
      </c>
      <c r="V6" s="388">
        <v>-15670.550999999999</v>
      </c>
      <c r="W6" s="388">
        <v>-25624.444</v>
      </c>
      <c r="Y6" s="132">
        <f t="shared" si="0"/>
        <v>-12508.736724790528</v>
      </c>
      <c r="Z6" s="103">
        <f t="shared" si="1"/>
        <v>-21169.672371227305</v>
      </c>
      <c r="AA6" s="108">
        <f t="shared" si="2"/>
        <v>-31335.843907658385</v>
      </c>
      <c r="AB6" s="181">
        <f t="shared" si="3"/>
        <v>-46896.503509278882</v>
      </c>
      <c r="AC6" s="108">
        <f t="shared" si="4"/>
        <v>-13368.094926534419</v>
      </c>
      <c r="AD6" s="181">
        <f t="shared" si="5"/>
        <v>-22967.968664034644</v>
      </c>
      <c r="AE6" s="108">
        <f t="shared" si="6"/>
        <v>-30865.402783901238</v>
      </c>
      <c r="AF6" s="181">
        <f t="shared" si="7"/>
        <v>-44734.074475491572</v>
      </c>
      <c r="AG6" s="108">
        <f t="shared" si="8"/>
        <v>-16324.166252711666</v>
      </c>
      <c r="AH6" s="181">
        <f t="shared" si="9"/>
        <v>-26140.555950338465</v>
      </c>
      <c r="AI6" s="108">
        <f t="shared" si="10"/>
        <v>-39330.362668647103</v>
      </c>
      <c r="AJ6" s="181">
        <f t="shared" si="11"/>
        <v>-55976.234067926838</v>
      </c>
      <c r="AK6" s="181">
        <f t="shared" si="12"/>
        <v>-19472.054269281816</v>
      </c>
      <c r="AL6" s="181">
        <f t="shared" si="13"/>
        <v>-31686.403013182677</v>
      </c>
      <c r="AM6" s="181">
        <f t="shared" si="14"/>
        <v>-46064.040456282506</v>
      </c>
      <c r="AN6" s="181">
        <f t="shared" si="14"/>
        <v>-63986.990404348551</v>
      </c>
      <c r="AO6" s="181">
        <f t="shared" si="14"/>
        <v>-16436.084187205757</v>
      </c>
      <c r="AP6" s="181">
        <f t="shared" si="14"/>
        <v>-30959.83086680761</v>
      </c>
      <c r="AQ6" s="181">
        <f t="shared" si="14"/>
        <v>-44280.85280736952</v>
      </c>
      <c r="AR6" s="181">
        <f t="shared" si="14"/>
        <v>-71472.843913868128</v>
      </c>
    </row>
    <row r="7" spans="1:44" outlineLevel="1" x14ac:dyDescent="0.3">
      <c r="B7" s="94" t="s">
        <v>143</v>
      </c>
      <c r="C7" s="94" t="s">
        <v>144</v>
      </c>
      <c r="D7" s="174">
        <v>-570.57811400000003</v>
      </c>
      <c r="E7" s="165">
        <v>-1107.2819280000001</v>
      </c>
      <c r="F7" s="174">
        <v>-1702.3162199999999</v>
      </c>
      <c r="G7" s="165">
        <v>-2153.922556</v>
      </c>
      <c r="H7" s="174">
        <v>-622.849559</v>
      </c>
      <c r="I7" s="165">
        <v>-1245.3993559999999</v>
      </c>
      <c r="J7" s="174">
        <v>-1808.0923909999999</v>
      </c>
      <c r="K7" s="165">
        <v>-2506.5336560000001</v>
      </c>
      <c r="L7" s="174">
        <v>-650.11555499999997</v>
      </c>
      <c r="M7" s="165">
        <v>-1290.5134969999999</v>
      </c>
      <c r="N7" s="109">
        <v>-2122</v>
      </c>
      <c r="O7" s="103">
        <f>+'éves P&amp;L_mérleg'!J73</f>
        <v>-2858.1641120000004</v>
      </c>
      <c r="P7" s="174">
        <v>-767</v>
      </c>
      <c r="Q7" s="165">
        <v>-1557.479</v>
      </c>
      <c r="R7" s="109">
        <v>-2417.9870000000001</v>
      </c>
      <c r="S7" s="165">
        <v>-3770.04</v>
      </c>
      <c r="T7" s="109">
        <v>-890.20799999999997</v>
      </c>
      <c r="U7" s="388">
        <v>-2189</v>
      </c>
      <c r="V7" s="388">
        <v>-2979.3760000000002</v>
      </c>
      <c r="W7" s="388">
        <v>-4192.2370000000001</v>
      </c>
      <c r="Y7" s="133">
        <f t="shared" si="0"/>
        <v>-1845.8740060172754</v>
      </c>
      <c r="Z7" s="104">
        <f t="shared" si="1"/>
        <v>-3578.1100239126226</v>
      </c>
      <c r="AA7" s="109">
        <f t="shared" si="2"/>
        <v>-5519.4741586148757</v>
      </c>
      <c r="AB7" s="182">
        <f t="shared" si="3"/>
        <v>-6915.5671867976625</v>
      </c>
      <c r="AC7" s="109">
        <f t="shared" si="4"/>
        <v>-2002.5385300453333</v>
      </c>
      <c r="AD7" s="182">
        <f t="shared" si="5"/>
        <v>-3965.2297376464594</v>
      </c>
      <c r="AE7" s="109">
        <f t="shared" si="6"/>
        <v>-5694.061822132644</v>
      </c>
      <c r="AF7" s="182">
        <f t="shared" si="7"/>
        <v>-7860.675686016245</v>
      </c>
      <c r="AG7" s="109">
        <f t="shared" si="8"/>
        <v>-2043.9386141415409</v>
      </c>
      <c r="AH7" s="182">
        <f t="shared" si="9"/>
        <v>-4025.6839286271324</v>
      </c>
      <c r="AI7" s="109">
        <f t="shared" si="10"/>
        <v>-6566.4067335066211</v>
      </c>
      <c r="AJ7" s="182">
        <f t="shared" si="11"/>
        <v>-8784.8904625787618</v>
      </c>
      <c r="AK7" s="182">
        <f t="shared" si="12"/>
        <v>-2262.2032148650637</v>
      </c>
      <c r="AL7" s="182">
        <f t="shared" si="13"/>
        <v>-4512.4699406055342</v>
      </c>
      <c r="AM7" s="182">
        <f t="shared" si="14"/>
        <v>-6947.6395713013253</v>
      </c>
      <c r="AN7" s="182">
        <f t="shared" si="14"/>
        <v>-10455.488379832492</v>
      </c>
      <c r="AO7" s="182">
        <f t="shared" si="14"/>
        <v>-2465.267238991969</v>
      </c>
      <c r="AP7" s="182">
        <f t="shared" si="14"/>
        <v>-6170.5426356589151</v>
      </c>
      <c r="AQ7" s="182">
        <f t="shared" si="14"/>
        <v>-8418.9324366328528</v>
      </c>
      <c r="AR7" s="182">
        <f t="shared" si="14"/>
        <v>-11693.174718286287</v>
      </c>
    </row>
    <row r="8" spans="1:44" outlineLevel="1" x14ac:dyDescent="0.3">
      <c r="B8" s="94" t="s">
        <v>145</v>
      </c>
      <c r="C8" s="94" t="s">
        <v>146</v>
      </c>
      <c r="D8" s="174">
        <v>-150.23280800000001</v>
      </c>
      <c r="E8" s="165">
        <v>-284.247075</v>
      </c>
      <c r="F8" s="174">
        <v>-419.81182200000001</v>
      </c>
      <c r="G8" s="165">
        <v>-571.66508499999998</v>
      </c>
      <c r="H8" s="174">
        <v>-159.68045100000001</v>
      </c>
      <c r="I8" s="165">
        <v>-336.25823700000001</v>
      </c>
      <c r="J8" s="174">
        <v>-502.08338300000003</v>
      </c>
      <c r="K8" s="165">
        <v>-729.81811600000003</v>
      </c>
      <c r="L8" s="174">
        <v>-252.92470599999999</v>
      </c>
      <c r="M8" s="165">
        <v>-908.34394999999995</v>
      </c>
      <c r="N8" s="109">
        <v>-1545</v>
      </c>
      <c r="O8" s="103">
        <f>+'éves P&amp;L_mérleg'!J74</f>
        <v>-2045.7517579999999</v>
      </c>
      <c r="P8" s="174">
        <v>-626</v>
      </c>
      <c r="Q8" s="165">
        <v>-1303.088</v>
      </c>
      <c r="R8" s="109">
        <v>-1941.201</v>
      </c>
      <c r="S8" s="165">
        <v>-2858.5230000000001</v>
      </c>
      <c r="T8" s="109">
        <v>-857.68</v>
      </c>
      <c r="U8" s="388">
        <v>-2187</v>
      </c>
      <c r="V8" s="388">
        <v>-3010.2669999999998</v>
      </c>
      <c r="W8" s="388">
        <v>-3936.6689999999999</v>
      </c>
      <c r="Y8" s="133">
        <f t="shared" si="0"/>
        <v>-486.01730128433246</v>
      </c>
      <c r="Z8" s="104">
        <f t="shared" si="1"/>
        <v>-918.52606152653016</v>
      </c>
      <c r="AA8" s="109">
        <f t="shared" si="2"/>
        <v>-1361.1692562090657</v>
      </c>
      <c r="AB8" s="182">
        <f t="shared" si="3"/>
        <v>-1835.4366050215117</v>
      </c>
      <c r="AC8" s="109">
        <f t="shared" si="4"/>
        <v>-513.39244124361005</v>
      </c>
      <c r="AD8" s="182">
        <f t="shared" si="5"/>
        <v>-1070.6133373662763</v>
      </c>
      <c r="AE8" s="109">
        <f t="shared" si="6"/>
        <v>-1581.1657838382566</v>
      </c>
      <c r="AF8" s="182">
        <f t="shared" si="7"/>
        <v>-2288.763809703014</v>
      </c>
      <c r="AG8" s="109">
        <f t="shared" si="8"/>
        <v>-795.18566982110849</v>
      </c>
      <c r="AH8" s="182">
        <f t="shared" si="9"/>
        <v>-2833.5276226721153</v>
      </c>
      <c r="AI8" s="109">
        <f t="shared" si="10"/>
        <v>-4780.9134793910134</v>
      </c>
      <c r="AJ8" s="182">
        <f t="shared" si="11"/>
        <v>-6287.849263869678</v>
      </c>
      <c r="AK8" s="182">
        <f t="shared" si="12"/>
        <v>-1846.3353487686181</v>
      </c>
      <c r="AL8" s="182">
        <f t="shared" si="13"/>
        <v>-3775.4251774590762</v>
      </c>
      <c r="AM8" s="182">
        <f t="shared" si="14"/>
        <v>-5577.6829583656581</v>
      </c>
      <c r="AN8" s="182">
        <f t="shared" si="14"/>
        <v>-7927.5694714071778</v>
      </c>
      <c r="AO8" s="182">
        <f t="shared" si="14"/>
        <v>-2375.1869288285793</v>
      </c>
      <c r="AP8" s="182">
        <f t="shared" si="14"/>
        <v>-6164.9048625792811</v>
      </c>
      <c r="AQ8" s="182">
        <f t="shared" si="14"/>
        <v>-8506.222272457544</v>
      </c>
      <c r="AR8" s="182">
        <f t="shared" si="14"/>
        <v>-10980.333035813901</v>
      </c>
    </row>
    <row r="9" spans="1:44" outlineLevel="1" x14ac:dyDescent="0.3">
      <c r="B9" s="94" t="s">
        <v>107</v>
      </c>
      <c r="C9" s="94" t="s">
        <v>147</v>
      </c>
      <c r="D9" s="174">
        <v>198.49933899999999</v>
      </c>
      <c r="E9" s="165">
        <v>287.04914300000002</v>
      </c>
      <c r="F9" s="174">
        <v>387.114529</v>
      </c>
      <c r="G9" s="165">
        <v>305.97678999999999</v>
      </c>
      <c r="H9" s="174">
        <v>-5.2825069999999998</v>
      </c>
      <c r="I9" s="165">
        <v>118.66872499999999</v>
      </c>
      <c r="J9" s="174">
        <v>-28.553673</v>
      </c>
      <c r="K9" s="165">
        <v>-114.311959</v>
      </c>
      <c r="L9" s="174">
        <v>-198.214327</v>
      </c>
      <c r="M9" s="165">
        <v>-348.20757500000002</v>
      </c>
      <c r="N9" s="109">
        <v>-364</v>
      </c>
      <c r="O9" s="103">
        <f>+'éves P&amp;L_mérleg'!J75</f>
        <v>-804.28131999999994</v>
      </c>
      <c r="P9" s="174">
        <v>-529</v>
      </c>
      <c r="Q9" s="165">
        <v>-532.10900000000004</v>
      </c>
      <c r="R9" s="109">
        <v>-591.39800000000002</v>
      </c>
      <c r="S9" s="165">
        <v>-1228.018</v>
      </c>
      <c r="T9" s="109">
        <v>-415.74299999999999</v>
      </c>
      <c r="U9" s="388">
        <v>-528</v>
      </c>
      <c r="V9" s="388">
        <v>-890.04499999999996</v>
      </c>
      <c r="W9" s="388">
        <v>-1795.605</v>
      </c>
      <c r="Y9" s="133">
        <f t="shared" si="0"/>
        <v>642.16408074795368</v>
      </c>
      <c r="Z9" s="104">
        <f t="shared" si="1"/>
        <v>927.58076326504249</v>
      </c>
      <c r="AA9" s="109">
        <f t="shared" si="2"/>
        <v>1255.1537805589778</v>
      </c>
      <c r="AB9" s="182">
        <f t="shared" si="3"/>
        <v>982.39513902266754</v>
      </c>
      <c r="AC9" s="109">
        <f t="shared" si="4"/>
        <v>-16.983914734913032</v>
      </c>
      <c r="AD9" s="182">
        <f t="shared" si="5"/>
        <v>377.82961347427408</v>
      </c>
      <c r="AE9" s="109">
        <f t="shared" si="6"/>
        <v>-89.921499653586935</v>
      </c>
      <c r="AF9" s="182">
        <f t="shared" si="7"/>
        <v>-358.49079248596604</v>
      </c>
      <c r="AG9" s="109">
        <f t="shared" si="8"/>
        <v>-623.17831609394159</v>
      </c>
      <c r="AH9" s="182">
        <f t="shared" si="9"/>
        <v>-1086.2138534485448</v>
      </c>
      <c r="AI9" s="109">
        <f t="shared" si="10"/>
        <v>-1126.3770268597598</v>
      </c>
      <c r="AJ9" s="182">
        <f t="shared" si="11"/>
        <v>-2472.0495466420775</v>
      </c>
      <c r="AK9" s="182">
        <f t="shared" si="12"/>
        <v>-1560.2418522341836</v>
      </c>
      <c r="AL9" s="182">
        <f t="shared" si="13"/>
        <v>-1541.6746342170075</v>
      </c>
      <c r="AM9" s="182">
        <f t="shared" si="14"/>
        <v>-1699.2730511737495</v>
      </c>
      <c r="AN9" s="182">
        <f t="shared" si="14"/>
        <v>-3405.6741915802322</v>
      </c>
      <c r="AO9" s="182">
        <f t="shared" si="14"/>
        <v>-1151.3237330379395</v>
      </c>
      <c r="AP9" s="182">
        <f t="shared" si="14"/>
        <v>-1488.3720930232557</v>
      </c>
      <c r="AQ9" s="182">
        <f t="shared" si="14"/>
        <v>-2515.0329198338468</v>
      </c>
      <c r="AR9" s="182">
        <f t="shared" si="14"/>
        <v>-5008.381680240991</v>
      </c>
    </row>
    <row r="10" spans="1:44" outlineLevel="1" x14ac:dyDescent="0.3">
      <c r="B10" s="94" t="s">
        <v>148</v>
      </c>
      <c r="C10" s="94" t="s">
        <v>149</v>
      </c>
      <c r="D10" s="174">
        <v>0</v>
      </c>
      <c r="E10" s="165">
        <v>0</v>
      </c>
      <c r="F10" s="174">
        <v>0</v>
      </c>
      <c r="G10" s="165">
        <v>-1.35</v>
      </c>
      <c r="H10" s="174">
        <v>0</v>
      </c>
      <c r="I10" s="165">
        <v>-22.455480999999999</v>
      </c>
      <c r="J10" s="174">
        <v>-28.251795000000001</v>
      </c>
      <c r="K10" s="165">
        <v>-32.522967000000001</v>
      </c>
      <c r="L10" s="174">
        <v>0</v>
      </c>
      <c r="M10" s="165">
        <v>-80.143831000000006</v>
      </c>
      <c r="N10" s="109">
        <v>-82</v>
      </c>
      <c r="O10" s="104">
        <v>0</v>
      </c>
      <c r="P10" s="174">
        <v>-1</v>
      </c>
      <c r="Q10" s="165">
        <v>-0.38100000000000001</v>
      </c>
      <c r="R10" s="109">
        <v>-0.38100000000000001</v>
      </c>
      <c r="S10" s="165">
        <v>0</v>
      </c>
      <c r="T10" s="109">
        <v>0</v>
      </c>
      <c r="U10" s="388"/>
      <c r="V10" s="388">
        <v>0</v>
      </c>
      <c r="W10" s="388">
        <v>0</v>
      </c>
      <c r="Y10" s="133">
        <f t="shared" si="0"/>
        <v>0</v>
      </c>
      <c r="Z10" s="104">
        <f t="shared" si="1"/>
        <v>0</v>
      </c>
      <c r="AA10" s="109">
        <f t="shared" si="2"/>
        <v>0</v>
      </c>
      <c r="AB10" s="182">
        <f t="shared" si="3"/>
        <v>-4.3344249662878065</v>
      </c>
      <c r="AC10" s="109">
        <f t="shared" si="4"/>
        <v>0</v>
      </c>
      <c r="AD10" s="182">
        <f t="shared" si="5"/>
        <v>-71.496055145185935</v>
      </c>
      <c r="AE10" s="109">
        <f t="shared" si="6"/>
        <v>-88.970822573534051</v>
      </c>
      <c r="AF10" s="182">
        <f t="shared" si="7"/>
        <v>-101.99443974033305</v>
      </c>
      <c r="AG10" s="109">
        <f t="shared" si="8"/>
        <v>0</v>
      </c>
      <c r="AH10" s="182">
        <f t="shared" si="9"/>
        <v>-250.00415197928695</v>
      </c>
      <c r="AI10" s="109">
        <f t="shared" si="10"/>
        <v>-253.74427528159421</v>
      </c>
      <c r="AJ10" s="182">
        <f t="shared" si="11"/>
        <v>0</v>
      </c>
      <c r="AK10" s="182">
        <f t="shared" si="12"/>
        <v>-2.949417490045716</v>
      </c>
      <c r="AL10" s="182">
        <f t="shared" si="13"/>
        <v>-1.1038678835289006</v>
      </c>
      <c r="AM10" s="182">
        <f t="shared" si="14"/>
        <v>-1.0947332126540816</v>
      </c>
      <c r="AN10" s="182">
        <f t="shared" si="14"/>
        <v>0</v>
      </c>
      <c r="AO10" s="182">
        <f t="shared" si="14"/>
        <v>0</v>
      </c>
      <c r="AP10" s="182">
        <f t="shared" si="14"/>
        <v>0</v>
      </c>
      <c r="AQ10" s="182">
        <f t="shared" si="14"/>
        <v>0</v>
      </c>
      <c r="AR10" s="182">
        <f t="shared" si="14"/>
        <v>0</v>
      </c>
    </row>
    <row r="11" spans="1:44" outlineLevel="1" x14ac:dyDescent="0.3">
      <c r="B11" s="94" t="s">
        <v>438</v>
      </c>
      <c r="C11" s="94" t="s">
        <v>418</v>
      </c>
      <c r="D11" s="174"/>
      <c r="E11" s="165"/>
      <c r="F11" s="174"/>
      <c r="G11" s="165"/>
      <c r="H11" s="174"/>
      <c r="I11" s="165"/>
      <c r="J11" s="174"/>
      <c r="K11" s="165"/>
      <c r="L11" s="174"/>
      <c r="M11" s="165"/>
      <c r="N11" s="109"/>
      <c r="O11" s="104"/>
      <c r="P11" s="174"/>
      <c r="Q11" s="165"/>
      <c r="R11" s="109"/>
      <c r="S11" s="165">
        <v>512.226</v>
      </c>
      <c r="T11" s="109">
        <v>59.555999999999997</v>
      </c>
      <c r="U11" s="388">
        <v>133</v>
      </c>
      <c r="V11" s="388">
        <v>188.34700000000001</v>
      </c>
      <c r="W11" s="388">
        <v>242.82599999999999</v>
      </c>
      <c r="Y11" s="133">
        <f t="shared" ref="Y11" si="15">+D11/Y$2*1000</f>
        <v>0</v>
      </c>
      <c r="Z11" s="104">
        <f t="shared" ref="Z11" si="16">+E11/Z$2*1000</f>
        <v>0</v>
      </c>
      <c r="AA11" s="109">
        <f t="shared" ref="AA11" si="17">+F11/AA$2*1000</f>
        <v>0</v>
      </c>
      <c r="AB11" s="182">
        <f t="shared" ref="AB11" si="18">+G11/AB$2*1000</f>
        <v>0</v>
      </c>
      <c r="AC11" s="109">
        <f t="shared" ref="AC11" si="19">+H11/AC$2*1000</f>
        <v>0</v>
      </c>
      <c r="AD11" s="182">
        <f t="shared" ref="AD11" si="20">+I11/AD$2*1000</f>
        <v>0</v>
      </c>
      <c r="AE11" s="109">
        <f t="shared" ref="AE11" si="21">+J11/AE$2*1000</f>
        <v>0</v>
      </c>
      <c r="AF11" s="182">
        <f t="shared" ref="AF11" si="22">+K11/AF$2*1000</f>
        <v>0</v>
      </c>
      <c r="AG11" s="109">
        <f t="shared" ref="AG11" si="23">+L11/AG$2*1000</f>
        <v>0</v>
      </c>
      <c r="AH11" s="182">
        <f t="shared" ref="AH11" si="24">+M11/AH$2*1000</f>
        <v>0</v>
      </c>
      <c r="AI11" s="109">
        <f t="shared" ref="AI11" si="25">+N11/AI$2*1000</f>
        <v>0</v>
      </c>
      <c r="AJ11" s="182">
        <f t="shared" ref="AJ11" si="26">+O11/AJ$2*1000</f>
        <v>0</v>
      </c>
      <c r="AK11" s="182">
        <f t="shared" ref="AK11" si="27">+P11/AK$2*1000</f>
        <v>0</v>
      </c>
      <c r="AL11" s="182">
        <f t="shared" ref="AL11" si="28">+Q11/AL$2*1000</f>
        <v>0</v>
      </c>
      <c r="AM11" s="182">
        <f t="shared" ref="AM11" si="29">+R11/AM$2*1000</f>
        <v>0</v>
      </c>
      <c r="AN11" s="182">
        <f t="shared" ref="AN11" si="30">+S11/AN$2*1000</f>
        <v>1420.5613178767542</v>
      </c>
      <c r="AO11" s="182">
        <f t="shared" ref="AO11" si="31">+T11/AO$2*1000</f>
        <v>164.92938244253668</v>
      </c>
      <c r="AP11" s="182">
        <f t="shared" ref="AP11" si="32">+U11/AP$2*1000</f>
        <v>374.91190979563072</v>
      </c>
      <c r="AQ11" s="182">
        <f t="shared" ref="AQ11:AR11" si="33">+V11/AQ$2*1000</f>
        <v>532.21905111757894</v>
      </c>
      <c r="AR11" s="182">
        <f t="shared" si="33"/>
        <v>677.30112685484767</v>
      </c>
    </row>
    <row r="12" spans="1:44" outlineLevel="1" x14ac:dyDescent="0.3">
      <c r="B12" s="87" t="s">
        <v>150</v>
      </c>
      <c r="C12" s="87" t="s">
        <v>151</v>
      </c>
      <c r="D12" s="160">
        <v>318.9265029999998</v>
      </c>
      <c r="E12" s="164">
        <v>979.12366700000007</v>
      </c>
      <c r="F12" s="160">
        <v>979.79211299999952</v>
      </c>
      <c r="G12" s="164">
        <v>1361.9384360000001</v>
      </c>
      <c r="H12" s="160">
        <v>245.39685399999991</v>
      </c>
      <c r="I12" s="164">
        <v>577.41953200000034</v>
      </c>
      <c r="J12" s="199">
        <v>636.01875800000005</v>
      </c>
      <c r="K12" s="200">
        <v>1038.225819999999</v>
      </c>
      <c r="L12" s="199">
        <v>200.90770899999987</v>
      </c>
      <c r="M12" s="200">
        <v>1134.3557139999996</v>
      </c>
      <c r="N12" s="200">
        <v>1172</v>
      </c>
      <c r="O12" s="84">
        <f>+'éves P&amp;L_mérleg'!J78</f>
        <v>1653.2853070000006</v>
      </c>
      <c r="P12" s="199">
        <f>SUM(P5:P10)</f>
        <v>533</v>
      </c>
      <c r="Q12" s="200">
        <f>SUM(Q5:Q10)</f>
        <v>1833.9080000000001</v>
      </c>
      <c r="R12" s="199">
        <f>SUM(R5:R10)</f>
        <v>2486.6239999999984</v>
      </c>
      <c r="S12" s="200">
        <v>2564.5169999999994</v>
      </c>
      <c r="T12" s="199">
        <v>1444.6070000000013</v>
      </c>
      <c r="U12" s="389">
        <f>SUM(U5:U11)</f>
        <v>4027</v>
      </c>
      <c r="V12" s="389">
        <v>6687.6780000000017</v>
      </c>
      <c r="W12" s="389">
        <v>8943.3189999999977</v>
      </c>
      <c r="Y12" s="110">
        <f t="shared" si="0"/>
        <v>1031.7573129306711</v>
      </c>
      <c r="Z12" s="84">
        <f t="shared" si="1"/>
        <v>3163.9748820526083</v>
      </c>
      <c r="AA12" s="110">
        <f t="shared" si="2"/>
        <v>3176.8112087413251</v>
      </c>
      <c r="AB12" s="183">
        <f t="shared" si="3"/>
        <v>4372.7555255891612</v>
      </c>
      <c r="AC12" s="110">
        <f t="shared" si="4"/>
        <v>788.98130083914702</v>
      </c>
      <c r="AD12" s="183">
        <f t="shared" si="5"/>
        <v>1838.4473127865524</v>
      </c>
      <c r="AE12" s="110">
        <f t="shared" si="6"/>
        <v>2002.9563456572398</v>
      </c>
      <c r="AF12" s="183">
        <f t="shared" si="7"/>
        <v>3255.9532724934893</v>
      </c>
      <c r="AG12" s="110">
        <f t="shared" si="8"/>
        <v>631.64620680982136</v>
      </c>
      <c r="AH12" s="183">
        <f t="shared" si="9"/>
        <v>3538.5585488348866</v>
      </c>
      <c r="AI12" s="110">
        <f t="shared" si="10"/>
        <v>3626.686471097908</v>
      </c>
      <c r="AJ12" s="183">
        <f t="shared" si="11"/>
        <v>5081.5592654064867</v>
      </c>
      <c r="AK12" s="183">
        <f t="shared" si="12"/>
        <v>1572.0395221943666</v>
      </c>
      <c r="AL12" s="183">
        <f t="shared" si="13"/>
        <v>5313.3652035346959</v>
      </c>
      <c r="AM12" s="183">
        <f t="shared" ref="AM12:AM24" si="34">+R12/AM$2*1000</f>
        <v>7144.8553285636262</v>
      </c>
      <c r="AN12" s="183">
        <f t="shared" ref="AN12:AN24" si="35">+S12/AN$2*1000</f>
        <v>7112.1997892284635</v>
      </c>
      <c r="AO12" s="183">
        <f t="shared" ref="AO12:AO24" si="36">+T12/AO$2*1000</f>
        <v>4000.5732484076466</v>
      </c>
      <c r="AP12" s="183">
        <f t="shared" ref="AP12:AP24" si="37">+U12/AP$2*1000</f>
        <v>11351.656095842141</v>
      </c>
      <c r="AQ12" s="183">
        <f t="shared" ref="AQ12:AQ24" si="38">+V12/AQ$2*1000</f>
        <v>18897.617903868439</v>
      </c>
      <c r="AR12" s="183">
        <f t="shared" ref="AR12:AR24" si="39">+W12/AR$2*1000</f>
        <v>24945.104875599682</v>
      </c>
    </row>
    <row r="13" spans="1:44" outlineLevel="1" x14ac:dyDescent="0.3">
      <c r="B13" s="94" t="s">
        <v>152</v>
      </c>
      <c r="C13" s="94" t="s">
        <v>153</v>
      </c>
      <c r="D13" s="161">
        <v>-93.023401000000007</v>
      </c>
      <c r="E13" s="168">
        <v>-176.415548</v>
      </c>
      <c r="F13" s="161">
        <v>-245.766569</v>
      </c>
      <c r="G13" s="168">
        <v>-329.10903100000002</v>
      </c>
      <c r="H13" s="161">
        <v>-61.70966</v>
      </c>
      <c r="I13" s="168">
        <v>-25.957788999999998</v>
      </c>
      <c r="J13" s="161">
        <v>-117.27139</v>
      </c>
      <c r="K13" s="168">
        <v>-232.33348899999999</v>
      </c>
      <c r="L13" s="161">
        <v>-147.007822</v>
      </c>
      <c r="M13" s="168">
        <v>-361.33734099999998</v>
      </c>
      <c r="N13" s="109">
        <v>-511</v>
      </c>
      <c r="O13" s="104">
        <f>+'éves P&amp;L_mérleg'!J79</f>
        <v>-943.82029</v>
      </c>
      <c r="P13" s="161">
        <v>9</v>
      </c>
      <c r="Q13" s="168">
        <v>-312</v>
      </c>
      <c r="R13" s="109">
        <v>-563.74800000000005</v>
      </c>
      <c r="S13" s="168">
        <v>-1090.316</v>
      </c>
      <c r="T13" s="109">
        <v>-253.15799999999999</v>
      </c>
      <c r="U13" s="388">
        <v>-565</v>
      </c>
      <c r="V13" s="388">
        <v>-751.06100000000004</v>
      </c>
      <c r="W13" s="388">
        <v>-1871.0509999999999</v>
      </c>
      <c r="Y13" s="133">
        <f t="shared" si="0"/>
        <v>-300.93947462068519</v>
      </c>
      <c r="Z13" s="104">
        <f t="shared" si="1"/>
        <v>-570.07544755380343</v>
      </c>
      <c r="AA13" s="109">
        <f t="shared" si="2"/>
        <v>-796.85678295830348</v>
      </c>
      <c r="AB13" s="182">
        <f t="shared" si="3"/>
        <v>-1056.6654819238427</v>
      </c>
      <c r="AC13" s="109">
        <f t="shared" si="4"/>
        <v>-198.40420538211751</v>
      </c>
      <c r="AD13" s="182">
        <f t="shared" si="5"/>
        <v>-82.647061258278143</v>
      </c>
      <c r="AE13" s="109">
        <f t="shared" si="6"/>
        <v>-369.31218114253318</v>
      </c>
      <c r="AF13" s="182">
        <f t="shared" si="7"/>
        <v>-728.61507510897854</v>
      </c>
      <c r="AG13" s="109">
        <f t="shared" si="8"/>
        <v>-462.18700914892952</v>
      </c>
      <c r="AH13" s="182">
        <f t="shared" si="9"/>
        <v>-1127.1714165392893</v>
      </c>
      <c r="AI13" s="109">
        <f t="shared" si="10"/>
        <v>-1581.2600569377398</v>
      </c>
      <c r="AJ13" s="182">
        <f t="shared" si="11"/>
        <v>-2900.9383433225753</v>
      </c>
      <c r="AK13" s="182">
        <f t="shared" si="12"/>
        <v>26.544757410411442</v>
      </c>
      <c r="AL13" s="182">
        <f t="shared" si="13"/>
        <v>-903.95480225988706</v>
      </c>
      <c r="AM13" s="182">
        <f t="shared" si="34"/>
        <v>-1619.8258770795624</v>
      </c>
      <c r="AN13" s="182">
        <f t="shared" si="35"/>
        <v>-3023.7839037106883</v>
      </c>
      <c r="AO13" s="182">
        <f t="shared" si="36"/>
        <v>-701.07449459983377</v>
      </c>
      <c r="AP13" s="182">
        <f t="shared" si="37"/>
        <v>-1592.6708949964764</v>
      </c>
      <c r="AQ13" s="182">
        <f t="shared" si="38"/>
        <v>-2122.3007149114133</v>
      </c>
      <c r="AR13" s="182">
        <f t="shared" si="39"/>
        <v>-5218.8190338056456</v>
      </c>
    </row>
    <row r="14" spans="1:44" outlineLevel="1" x14ac:dyDescent="0.3">
      <c r="B14" s="88" t="s">
        <v>119</v>
      </c>
      <c r="C14" s="88" t="s">
        <v>154</v>
      </c>
      <c r="D14" s="160">
        <v>225.90310199999979</v>
      </c>
      <c r="E14" s="164">
        <v>802.70811900000012</v>
      </c>
      <c r="F14" s="160">
        <v>734.02554399999951</v>
      </c>
      <c r="G14" s="164">
        <v>1032.8294050000002</v>
      </c>
      <c r="H14" s="160">
        <v>183.68719399999992</v>
      </c>
      <c r="I14" s="164">
        <v>551.4617430000003</v>
      </c>
      <c r="J14" s="160">
        <v>518.74736800000005</v>
      </c>
      <c r="K14" s="164">
        <v>805.89233099999899</v>
      </c>
      <c r="L14" s="160">
        <v>53.899886999999865</v>
      </c>
      <c r="M14" s="164">
        <v>773.01837299999966</v>
      </c>
      <c r="N14" s="199">
        <v>661</v>
      </c>
      <c r="O14" s="84">
        <f>+'éves P&amp;L_mérleg'!J80</f>
        <v>709.46501700000056</v>
      </c>
      <c r="P14" s="160">
        <f>+P12+P13</f>
        <v>542</v>
      </c>
      <c r="Q14" s="164">
        <f>+Q12+Q13</f>
        <v>1521.9080000000001</v>
      </c>
      <c r="R14" s="199">
        <f>+R12+R13</f>
        <v>1922.8759999999984</v>
      </c>
      <c r="S14" s="164">
        <v>1474.2009999999993</v>
      </c>
      <c r="T14" s="199">
        <v>1191.4490000000014</v>
      </c>
      <c r="U14" s="389">
        <f>+U12+U13</f>
        <v>3462</v>
      </c>
      <c r="V14" s="389">
        <v>5936.617000000002</v>
      </c>
      <c r="W14" s="389">
        <v>7072.2679999999982</v>
      </c>
      <c r="Y14" s="110">
        <f t="shared" si="0"/>
        <v>730.81783830998609</v>
      </c>
      <c r="Z14" s="84">
        <f t="shared" si="1"/>
        <v>2593.899434498805</v>
      </c>
      <c r="AA14" s="110">
        <f t="shared" si="2"/>
        <v>2379.9544257830216</v>
      </c>
      <c r="AB14" s="183">
        <f t="shared" si="3"/>
        <v>3316.0900436653187</v>
      </c>
      <c r="AC14" s="110">
        <f t="shared" si="4"/>
        <v>590.5770954570296</v>
      </c>
      <c r="AD14" s="183">
        <f t="shared" si="5"/>
        <v>1755.800251528274</v>
      </c>
      <c r="AE14" s="110">
        <f t="shared" si="6"/>
        <v>1633.6441645147067</v>
      </c>
      <c r="AF14" s="183">
        <f t="shared" si="7"/>
        <v>2527.3381973845107</v>
      </c>
      <c r="AG14" s="110">
        <f t="shared" si="8"/>
        <v>169.45919766089185</v>
      </c>
      <c r="AH14" s="183">
        <f t="shared" si="9"/>
        <v>2411.3871322955974</v>
      </c>
      <c r="AI14" s="110">
        <f t="shared" si="10"/>
        <v>2045.4264141601684</v>
      </c>
      <c r="AJ14" s="183">
        <f t="shared" si="11"/>
        <v>2180.6209220839114</v>
      </c>
      <c r="AK14" s="183">
        <f t="shared" si="12"/>
        <v>1598.584279604778</v>
      </c>
      <c r="AL14" s="183">
        <f t="shared" si="13"/>
        <v>4409.4104012748085</v>
      </c>
      <c r="AM14" s="183">
        <f t="shared" si="34"/>
        <v>5525.0294514840634</v>
      </c>
      <c r="AN14" s="183">
        <f t="shared" si="35"/>
        <v>4088.4158855177752</v>
      </c>
      <c r="AO14" s="183">
        <f t="shared" si="36"/>
        <v>3299.4987538078135</v>
      </c>
      <c r="AP14" s="183">
        <f t="shared" si="37"/>
        <v>9758.9852008456655</v>
      </c>
      <c r="AQ14" s="183">
        <f t="shared" si="38"/>
        <v>16775.317188957026</v>
      </c>
      <c r="AR14" s="183">
        <f t="shared" si="39"/>
        <v>19726.285841794037</v>
      </c>
    </row>
    <row r="15" spans="1:44" outlineLevel="1" x14ac:dyDescent="0.3">
      <c r="B15" s="94" t="s">
        <v>121</v>
      </c>
      <c r="C15" s="94" t="s">
        <v>155</v>
      </c>
      <c r="D15" s="161">
        <v>-287.95242300000001</v>
      </c>
      <c r="E15" s="168">
        <v>-215.85485499999999</v>
      </c>
      <c r="F15" s="161">
        <v>-211.40517</v>
      </c>
      <c r="G15" s="168">
        <v>-117.87471600000001</v>
      </c>
      <c r="H15" s="161">
        <v>-51.014071000000001</v>
      </c>
      <c r="I15" s="168">
        <v>-200.574298</v>
      </c>
      <c r="J15" s="161">
        <v>-216.30257399999999</v>
      </c>
      <c r="K15" s="168">
        <v>-275.81400000000002</v>
      </c>
      <c r="L15" s="161">
        <v>-77.511156</v>
      </c>
      <c r="M15" s="168">
        <v>-289.70930399999997</v>
      </c>
      <c r="N15" s="161">
        <v>-298</v>
      </c>
      <c r="O15" s="104">
        <f>+'éves P&amp;L_mérleg'!J81</f>
        <v>-435.83447100000001</v>
      </c>
      <c r="P15" s="161">
        <v>-152</v>
      </c>
      <c r="Q15" s="168">
        <v>-458</v>
      </c>
      <c r="R15" s="161">
        <v>-740.84500000000003</v>
      </c>
      <c r="S15" s="168">
        <v>-883.66</v>
      </c>
      <c r="T15" s="161">
        <v>-264.267</v>
      </c>
      <c r="U15" s="388">
        <v>-642</v>
      </c>
      <c r="V15" s="388">
        <v>-1030.0730000000001</v>
      </c>
      <c r="W15" s="388">
        <v>-1214.818</v>
      </c>
      <c r="Y15" s="133">
        <f t="shared" si="0"/>
        <v>-931.55324318203884</v>
      </c>
      <c r="Z15" s="104">
        <f t="shared" si="1"/>
        <v>-697.52102048730046</v>
      </c>
      <c r="AA15" s="109">
        <f t="shared" si="2"/>
        <v>-685.44572336424346</v>
      </c>
      <c r="AB15" s="182">
        <f t="shared" si="3"/>
        <v>-378.45860142554426</v>
      </c>
      <c r="AC15" s="109">
        <f t="shared" si="4"/>
        <v>-164.01656110343055</v>
      </c>
      <c r="AD15" s="182">
        <f t="shared" si="5"/>
        <v>-638.60894676515545</v>
      </c>
      <c r="AE15" s="109">
        <f t="shared" si="6"/>
        <v>-681.18213138502222</v>
      </c>
      <c r="AF15" s="182">
        <f t="shared" si="7"/>
        <v>-864.97318656505797</v>
      </c>
      <c r="AG15" s="109">
        <f t="shared" si="8"/>
        <v>-243.69213066306159</v>
      </c>
      <c r="AH15" s="182">
        <f t="shared" si="9"/>
        <v>-903.73180272639354</v>
      </c>
      <c r="AI15" s="109">
        <f t="shared" si="10"/>
        <v>-922.14382968189125</v>
      </c>
      <c r="AJ15" s="182">
        <f t="shared" si="11"/>
        <v>-1339.5865099124021</v>
      </c>
      <c r="AK15" s="182">
        <f t="shared" si="12"/>
        <v>-448.31145848694882</v>
      </c>
      <c r="AL15" s="182">
        <f t="shared" si="13"/>
        <v>-1326.9592930609881</v>
      </c>
      <c r="AM15" s="182">
        <f t="shared" si="34"/>
        <v>-2128.6814355084334</v>
      </c>
      <c r="AN15" s="182">
        <f t="shared" si="35"/>
        <v>-2450.6628210105941</v>
      </c>
      <c r="AO15" s="182">
        <f t="shared" si="36"/>
        <v>-731.8388258100249</v>
      </c>
      <c r="AP15" s="182">
        <f t="shared" si="37"/>
        <v>-1809.7251585623678</v>
      </c>
      <c r="AQ15" s="182">
        <f t="shared" si="38"/>
        <v>-2910.7151939868327</v>
      </c>
      <c r="AR15" s="182">
        <f t="shared" si="39"/>
        <v>-3388.4246346089481</v>
      </c>
    </row>
    <row r="16" spans="1:44" outlineLevel="1" x14ac:dyDescent="0.3">
      <c r="B16" s="274" t="s">
        <v>410</v>
      </c>
      <c r="C16" s="275" t="s">
        <v>411</v>
      </c>
      <c r="D16" s="272"/>
      <c r="E16" s="273"/>
      <c r="F16" s="272"/>
      <c r="G16" s="273"/>
      <c r="H16" s="272"/>
      <c r="I16" s="273"/>
      <c r="J16" s="272"/>
      <c r="K16" s="273"/>
      <c r="L16" s="272"/>
      <c r="M16" s="273"/>
      <c r="N16" s="272"/>
      <c r="O16" s="104"/>
      <c r="P16" s="272">
        <v>-129</v>
      </c>
      <c r="Q16" s="273"/>
      <c r="R16" s="272"/>
      <c r="S16" s="273">
        <v>-0.48</v>
      </c>
      <c r="T16" s="272"/>
      <c r="U16" s="388"/>
      <c r="V16" s="388"/>
      <c r="W16" s="388"/>
      <c r="Y16" s="133"/>
      <c r="Z16" s="104"/>
      <c r="AA16" s="109"/>
      <c r="AB16" s="182"/>
      <c r="AC16" s="109"/>
      <c r="AD16" s="182"/>
      <c r="AE16" s="109"/>
      <c r="AF16" s="182"/>
      <c r="AG16" s="109"/>
      <c r="AH16" s="182"/>
      <c r="AI16" s="109"/>
      <c r="AJ16" s="182"/>
      <c r="AK16" s="182">
        <f t="shared" si="12"/>
        <v>-380.47485621589732</v>
      </c>
      <c r="AL16" s="182"/>
      <c r="AM16" s="182">
        <f t="shared" si="34"/>
        <v>0</v>
      </c>
      <c r="AN16" s="182">
        <f t="shared" si="35"/>
        <v>-1.3311886405236009</v>
      </c>
      <c r="AO16" s="182">
        <f t="shared" si="36"/>
        <v>0</v>
      </c>
      <c r="AP16" s="182">
        <f t="shared" si="37"/>
        <v>0</v>
      </c>
      <c r="AQ16" s="182">
        <f t="shared" si="38"/>
        <v>0</v>
      </c>
      <c r="AR16" s="182">
        <f t="shared" si="39"/>
        <v>0</v>
      </c>
    </row>
    <row r="17" spans="2:44" ht="28.8" outlineLevel="1" x14ac:dyDescent="0.3">
      <c r="B17" s="88" t="s">
        <v>123</v>
      </c>
      <c r="C17" s="88" t="s">
        <v>156</v>
      </c>
      <c r="D17" s="162">
        <v>-62.049321000000219</v>
      </c>
      <c r="E17" s="169">
        <v>586.85326400000008</v>
      </c>
      <c r="F17" s="162">
        <v>522.62037399999952</v>
      </c>
      <c r="G17" s="169">
        <v>914.95468900000014</v>
      </c>
      <c r="H17" s="162">
        <v>132.67312299999992</v>
      </c>
      <c r="I17" s="169">
        <v>350.8874450000003</v>
      </c>
      <c r="J17" s="162">
        <v>303</v>
      </c>
      <c r="K17" s="169">
        <v>530.07833099999903</v>
      </c>
      <c r="L17" s="199">
        <v>-23.611269000000135</v>
      </c>
      <c r="M17" s="200">
        <v>483.30906899999968</v>
      </c>
      <c r="N17" s="199">
        <v>363</v>
      </c>
      <c r="O17" s="84">
        <f>+O14+O15</f>
        <v>273.63054600000055</v>
      </c>
      <c r="P17" s="199">
        <f>+P14+P15</f>
        <v>390</v>
      </c>
      <c r="Q17" s="200">
        <f>+Q14+Q15</f>
        <v>1063.9080000000001</v>
      </c>
      <c r="R17" s="199">
        <f>+R14+R15</f>
        <v>1182.0309999999984</v>
      </c>
      <c r="S17" s="200">
        <v>590.54099999999937</v>
      </c>
      <c r="T17" s="110">
        <v>927.18200000000138</v>
      </c>
      <c r="U17" s="389">
        <f>+U14+U15</f>
        <v>2820</v>
      </c>
      <c r="V17" s="389">
        <v>4907</v>
      </c>
      <c r="W17" s="389">
        <v>5857.45</v>
      </c>
      <c r="Y17" s="110">
        <f t="shared" si="0"/>
        <v>-200.73540487205273</v>
      </c>
      <c r="Z17" s="84">
        <f t="shared" si="1"/>
        <v>1896.3784140115042</v>
      </c>
      <c r="AA17" s="110">
        <f t="shared" si="2"/>
        <v>1694.5087024187778</v>
      </c>
      <c r="AB17" s="183">
        <f t="shared" si="3"/>
        <v>2937.6314422397745</v>
      </c>
      <c r="AC17" s="110">
        <f t="shared" si="4"/>
        <v>426.56053435359911</v>
      </c>
      <c r="AD17" s="183">
        <f t="shared" si="5"/>
        <v>1117.1913047631188</v>
      </c>
      <c r="AE17" s="110">
        <f t="shared" si="6"/>
        <v>954.2104931662152</v>
      </c>
      <c r="AF17" s="183">
        <f t="shared" si="7"/>
        <v>1662.3650108194531</v>
      </c>
      <c r="AG17" s="110">
        <f t="shared" ref="AG17:AJ24" si="40">+L17/AG$2*1000</f>
        <v>-74.232933002169759</v>
      </c>
      <c r="AH17" s="183">
        <f t="shared" si="40"/>
        <v>1507.6553295692038</v>
      </c>
      <c r="AI17" s="110">
        <f t="shared" si="40"/>
        <v>1123.2825844782769</v>
      </c>
      <c r="AJ17" s="183">
        <f t="shared" si="40"/>
        <v>841.03441217150919</v>
      </c>
      <c r="AK17" s="183">
        <f t="shared" si="12"/>
        <v>1150.2728211178292</v>
      </c>
      <c r="AL17" s="183">
        <f t="shared" si="13"/>
        <v>3082.451108213821</v>
      </c>
      <c r="AM17" s="183">
        <f t="shared" si="34"/>
        <v>3396.34801597563</v>
      </c>
      <c r="AN17" s="183">
        <f t="shared" si="35"/>
        <v>1637.7530645071811</v>
      </c>
      <c r="AO17" s="183">
        <f t="shared" si="36"/>
        <v>2567.6599279977881</v>
      </c>
      <c r="AP17" s="183">
        <f t="shared" si="37"/>
        <v>7949.2600422832984</v>
      </c>
      <c r="AQ17" s="183">
        <f t="shared" si="38"/>
        <v>13865.890530955949</v>
      </c>
      <c r="AR17" s="183">
        <f t="shared" si="39"/>
        <v>16337.861207185097</v>
      </c>
    </row>
    <row r="18" spans="2:44" outlineLevel="1" x14ac:dyDescent="0.3">
      <c r="B18" s="95" t="s">
        <v>125</v>
      </c>
      <c r="C18" s="94" t="s">
        <v>157</v>
      </c>
      <c r="D18" s="163">
        <v>-61.606999000000002</v>
      </c>
      <c r="E18" s="170">
        <v>588.32684300000005</v>
      </c>
      <c r="F18" s="163">
        <v>524.43603960000007</v>
      </c>
      <c r="G18" s="170">
        <v>912.52596700000004</v>
      </c>
      <c r="H18" s="163">
        <v>132.9661706</v>
      </c>
      <c r="I18" s="170">
        <v>351.81632500000001</v>
      </c>
      <c r="J18" s="163">
        <v>304</v>
      </c>
      <c r="K18" s="170">
        <v>511.26202000000001</v>
      </c>
      <c r="L18" s="163">
        <v>-23.343465999999999</v>
      </c>
      <c r="M18" s="170">
        <v>483.57687199999998</v>
      </c>
      <c r="N18" s="163">
        <v>365</v>
      </c>
      <c r="O18" s="104">
        <f>+'éves P&amp;L_mérleg'!J84</f>
        <v>270.71654599999812</v>
      </c>
      <c r="P18" s="163">
        <v>389</v>
      </c>
      <c r="Q18" s="170">
        <v>1062</v>
      </c>
      <c r="R18" s="163">
        <v>1175.8689999999999</v>
      </c>
      <c r="S18" s="170">
        <v>586.66300000000001</v>
      </c>
      <c r="T18" s="163">
        <v>924.30600000000004</v>
      </c>
      <c r="U18" s="388">
        <v>2818</v>
      </c>
      <c r="V18" s="388">
        <v>4904</v>
      </c>
      <c r="W18" s="388">
        <v>5855.1840000000002</v>
      </c>
      <c r="Y18" s="133">
        <f t="shared" si="0"/>
        <v>-199.30445148976091</v>
      </c>
      <c r="Z18" s="104">
        <f t="shared" si="1"/>
        <v>1901.1401893621148</v>
      </c>
      <c r="AA18" s="109">
        <f t="shared" si="2"/>
        <v>1700.395692886324</v>
      </c>
      <c r="AB18" s="182">
        <f t="shared" si="3"/>
        <v>2929.833580556091</v>
      </c>
      <c r="AC18" s="109">
        <f t="shared" si="4"/>
        <v>427.50271870880624</v>
      </c>
      <c r="AD18" s="182">
        <f t="shared" si="5"/>
        <v>1120.1487678298522</v>
      </c>
      <c r="AE18" s="109">
        <f t="shared" si="6"/>
        <v>957.35970271461861</v>
      </c>
      <c r="AF18" s="182">
        <f t="shared" si="7"/>
        <v>1603.3556621820803</v>
      </c>
      <c r="AG18" s="109">
        <f t="shared" si="40"/>
        <v>-73.390970541075859</v>
      </c>
      <c r="AH18" s="182">
        <f t="shared" si="40"/>
        <v>1508.4907258945004</v>
      </c>
      <c r="AI18" s="109">
        <f t="shared" si="40"/>
        <v>1129.4714692412426</v>
      </c>
      <c r="AJ18" s="182">
        <f t="shared" si="40"/>
        <v>832.07790379590631</v>
      </c>
      <c r="AK18" s="182">
        <f t="shared" si="12"/>
        <v>1147.3234036277836</v>
      </c>
      <c r="AL18" s="182">
        <f t="shared" si="13"/>
        <v>3076.9230769230771</v>
      </c>
      <c r="AM18" s="182">
        <f t="shared" si="34"/>
        <v>3378.6426457489297</v>
      </c>
      <c r="AN18" s="182">
        <f t="shared" si="35"/>
        <v>1626.9981696156192</v>
      </c>
      <c r="AO18" s="182">
        <f t="shared" si="36"/>
        <v>2559.6953752423151</v>
      </c>
      <c r="AP18" s="182">
        <f t="shared" si="37"/>
        <v>7943.6222692036645</v>
      </c>
      <c r="AQ18" s="182">
        <f t="shared" si="38"/>
        <v>13857.413320523327</v>
      </c>
      <c r="AR18" s="182">
        <f t="shared" si="39"/>
        <v>16331.540778757113</v>
      </c>
    </row>
    <row r="19" spans="2:44" ht="28.8" outlineLevel="1" x14ac:dyDescent="0.3">
      <c r="B19" s="96" t="s">
        <v>158</v>
      </c>
      <c r="C19" s="96" t="s">
        <v>159</v>
      </c>
      <c r="D19" s="161">
        <v>-0.44232200000021749</v>
      </c>
      <c r="E19" s="168">
        <v>-1.4735789999999724</v>
      </c>
      <c r="F19" s="161">
        <v>-1.8156656000005569</v>
      </c>
      <c r="G19" s="168">
        <v>2.4287220000001071</v>
      </c>
      <c r="H19" s="161">
        <v>-0.29304760000007946</v>
      </c>
      <c r="I19" s="168">
        <v>-0.92887999999970816</v>
      </c>
      <c r="J19" s="161">
        <v>-0.71469199999887678</v>
      </c>
      <c r="K19" s="168">
        <v>18.816310999999018</v>
      </c>
      <c r="L19" s="161">
        <v>-0.26780300000013568</v>
      </c>
      <c r="M19" s="168">
        <v>-0.26780300000029911</v>
      </c>
      <c r="N19" s="161">
        <v>-2</v>
      </c>
      <c r="O19" s="105">
        <f>+'éves P&amp;L_mérleg'!J85</f>
        <v>2.9140000000000001</v>
      </c>
      <c r="P19" s="161">
        <v>2</v>
      </c>
      <c r="Q19" s="168">
        <v>2</v>
      </c>
      <c r="R19" s="161">
        <v>6.1619999999999999</v>
      </c>
      <c r="S19" s="168">
        <v>3.8780000000000001</v>
      </c>
      <c r="T19" s="161">
        <v>2.8759999999999999</v>
      </c>
      <c r="U19" s="390">
        <v>2</v>
      </c>
      <c r="V19" s="390">
        <v>2</v>
      </c>
      <c r="W19" s="390">
        <v>2.266</v>
      </c>
      <c r="Y19" s="134">
        <f t="shared" si="0"/>
        <v>-1.4309533822917975</v>
      </c>
      <c r="Z19" s="105">
        <f t="shared" si="1"/>
        <v>-4.7617753506106526</v>
      </c>
      <c r="AA19" s="111">
        <f t="shared" si="2"/>
        <v>-5.8869904675460631</v>
      </c>
      <c r="AB19" s="184">
        <f t="shared" si="3"/>
        <v>7.7978616836836423</v>
      </c>
      <c r="AC19" s="111">
        <f t="shared" si="4"/>
        <v>-0.94218435520714872</v>
      </c>
      <c r="AD19" s="184">
        <f t="shared" si="5"/>
        <v>-2.9574630667336606</v>
      </c>
      <c r="AE19" s="111">
        <f t="shared" si="6"/>
        <v>-2.2507148705639506</v>
      </c>
      <c r="AF19" s="184">
        <f t="shared" si="7"/>
        <v>59.009348637372653</v>
      </c>
      <c r="AG19" s="111">
        <f t="shared" si="40"/>
        <v>-0.84196246109389661</v>
      </c>
      <c r="AH19" s="184">
        <f t="shared" si="40"/>
        <v>-0.83539632529650032</v>
      </c>
      <c r="AI19" s="111">
        <f t="shared" si="40"/>
        <v>-6.1888847629657127</v>
      </c>
      <c r="AJ19" s="184">
        <f t="shared" si="40"/>
        <v>8.9565083755955133</v>
      </c>
      <c r="AK19" s="184">
        <f t="shared" si="12"/>
        <v>5.8988349800914319</v>
      </c>
      <c r="AL19" s="184">
        <f t="shared" si="13"/>
        <v>5.7945820657685063</v>
      </c>
      <c r="AM19" s="184">
        <f t="shared" si="34"/>
        <v>17.705370226704595</v>
      </c>
      <c r="AN19" s="184">
        <f t="shared" si="35"/>
        <v>10.754894891563593</v>
      </c>
      <c r="AO19" s="184">
        <f t="shared" si="36"/>
        <v>7.9645527554693984</v>
      </c>
      <c r="AP19" s="184">
        <f t="shared" si="37"/>
        <v>5.6377730796335452</v>
      </c>
      <c r="AQ19" s="184">
        <f t="shared" si="38"/>
        <v>5.6514736217468711</v>
      </c>
      <c r="AR19" s="184">
        <f t="shared" si="39"/>
        <v>6.3204284279817022</v>
      </c>
    </row>
    <row r="20" spans="2:44" ht="15" outlineLevel="1" thickBot="1" x14ac:dyDescent="0.35">
      <c r="B20" s="94" t="s">
        <v>160</v>
      </c>
      <c r="C20" s="94" t="s">
        <v>161</v>
      </c>
      <c r="D20" s="161">
        <v>-360.79593499999999</v>
      </c>
      <c r="E20" s="168">
        <v>-591.428675</v>
      </c>
      <c r="F20" s="161">
        <v>-428.63687599999997</v>
      </c>
      <c r="G20" s="168">
        <v>-479.54411900000002</v>
      </c>
      <c r="H20" s="161">
        <v>-86.041819000000004</v>
      </c>
      <c r="I20" s="168">
        <v>322.11162000000002</v>
      </c>
      <c r="J20" s="161">
        <v>322.11162000000002</v>
      </c>
      <c r="K20" s="168">
        <v>-259.631775</v>
      </c>
      <c r="L20" s="161">
        <v>-1061.3122229999999</v>
      </c>
      <c r="M20" s="168">
        <v>-1061.3122229999999</v>
      </c>
      <c r="N20" s="161">
        <v>-1043</v>
      </c>
      <c r="O20" s="104">
        <f>+'éves P&amp;L_mérleg'!J86</f>
        <v>-1415.65</v>
      </c>
      <c r="P20" s="161">
        <v>160</v>
      </c>
      <c r="Q20" s="168">
        <v>772.60900000000004</v>
      </c>
      <c r="R20" s="161">
        <v>1766.3579999999999</v>
      </c>
      <c r="S20" s="168">
        <v>2114.2919999999999</v>
      </c>
      <c r="T20" s="161">
        <v>447.88900000000001</v>
      </c>
      <c r="U20" s="388">
        <v>3043</v>
      </c>
      <c r="V20" s="388">
        <v>10839</v>
      </c>
      <c r="W20" s="388">
        <v>4906.63</v>
      </c>
      <c r="Y20" s="133">
        <f t="shared" si="0"/>
        <v>-1167.208873863673</v>
      </c>
      <c r="Z20" s="104">
        <f t="shared" si="1"/>
        <v>-1911.1635591029537</v>
      </c>
      <c r="AA20" s="109">
        <f t="shared" si="2"/>
        <v>-1389.7830101809218</v>
      </c>
      <c r="AB20" s="182">
        <f t="shared" si="3"/>
        <v>-1539.665186540808</v>
      </c>
      <c r="AC20" s="109">
        <f t="shared" si="4"/>
        <v>-276.63511236858187</v>
      </c>
      <c r="AD20" s="182">
        <f t="shared" si="5"/>
        <v>1025.571892511462</v>
      </c>
      <c r="AE20" s="109">
        <f t="shared" si="6"/>
        <v>1014.3969893556717</v>
      </c>
      <c r="AF20" s="182">
        <f t="shared" si="7"/>
        <v>-814.22452723680499</v>
      </c>
      <c r="AG20" s="109">
        <f t="shared" si="40"/>
        <v>-3336.7253214701163</v>
      </c>
      <c r="AH20" s="182">
        <f t="shared" si="40"/>
        <v>-3310.7035062544837</v>
      </c>
      <c r="AI20" s="109">
        <f t="shared" si="40"/>
        <v>-3227.5034038866193</v>
      </c>
      <c r="AJ20" s="182">
        <f t="shared" si="40"/>
        <v>-4351.1602889196256</v>
      </c>
      <c r="AK20" s="182">
        <f t="shared" si="12"/>
        <v>471.90679840731451</v>
      </c>
      <c r="AL20" s="182">
        <f t="shared" si="13"/>
        <v>2238.4731276256703</v>
      </c>
      <c r="AM20" s="182">
        <f t="shared" si="34"/>
        <v>5075.303853116111</v>
      </c>
      <c r="AN20" s="182">
        <f t="shared" si="35"/>
        <v>5863.5864440623436</v>
      </c>
      <c r="AO20" s="182">
        <f t="shared" si="36"/>
        <v>1240.346164497369</v>
      </c>
      <c r="AP20" s="182">
        <f t="shared" si="37"/>
        <v>8577.8717406624382</v>
      </c>
      <c r="AQ20" s="182">
        <f t="shared" si="38"/>
        <v>30628.161293057165</v>
      </c>
      <c r="AR20" s="182">
        <f t="shared" si="39"/>
        <v>13685.791587638068</v>
      </c>
    </row>
    <row r="21" spans="2:44" ht="30" outlineLevel="1" thickTop="1" thickBot="1" x14ac:dyDescent="0.35">
      <c r="B21" s="89" t="s">
        <v>132</v>
      </c>
      <c r="C21" s="89" t="s">
        <v>162</v>
      </c>
      <c r="D21" s="177">
        <v>-422.84525600000018</v>
      </c>
      <c r="E21" s="171">
        <v>-4.5754109999999173</v>
      </c>
      <c r="F21" s="177">
        <v>93.983497999999543</v>
      </c>
      <c r="G21" s="171">
        <v>435.41057000000012</v>
      </c>
      <c r="H21" s="177">
        <v>46.631303999999915</v>
      </c>
      <c r="I21" s="171">
        <v>672.99906500000031</v>
      </c>
      <c r="J21" s="177">
        <v>625.11162000000002</v>
      </c>
      <c r="K21" s="171">
        <v>270.44655599999902</v>
      </c>
      <c r="L21" s="177">
        <v>-1084.9234920000001</v>
      </c>
      <c r="M21" s="171">
        <v>-578.00315400000022</v>
      </c>
      <c r="N21" s="177">
        <v>-680</v>
      </c>
      <c r="O21" s="85">
        <f>+'éves P&amp;L_mérleg'!J87</f>
        <v>-1142.0194539999995</v>
      </c>
      <c r="P21" s="177">
        <f>+P17+P20</f>
        <v>550</v>
      </c>
      <c r="Q21" s="171">
        <f>+Q17+Q20</f>
        <v>1836.5170000000003</v>
      </c>
      <c r="R21" s="177">
        <f>+R17+R20</f>
        <v>2948.3889999999983</v>
      </c>
      <c r="S21" s="171">
        <v>2704.8329999999992</v>
      </c>
      <c r="T21" s="177">
        <v>1375.0710000000013</v>
      </c>
      <c r="U21" s="391">
        <f>+U17+U20</f>
        <v>5863</v>
      </c>
      <c r="V21" s="391">
        <v>15746</v>
      </c>
      <c r="W21" s="391">
        <v>10764.08</v>
      </c>
      <c r="Y21" s="112">
        <f t="shared" si="0"/>
        <v>-1367.9442787357257</v>
      </c>
      <c r="Z21" s="85">
        <f t="shared" si="1"/>
        <v>-14.785145091449357</v>
      </c>
      <c r="AA21" s="112">
        <f t="shared" si="2"/>
        <v>304.72569223785592</v>
      </c>
      <c r="AB21" s="185">
        <f t="shared" si="3"/>
        <v>1397.9662556989667</v>
      </c>
      <c r="AC21" s="112">
        <f t="shared" si="4"/>
        <v>149.92542198501727</v>
      </c>
      <c r="AD21" s="185">
        <f t="shared" si="5"/>
        <v>2142.7631972745808</v>
      </c>
      <c r="AE21" s="112">
        <f t="shared" si="6"/>
        <v>1968.6074825218868</v>
      </c>
      <c r="AF21" s="185">
        <f t="shared" si="7"/>
        <v>848.14048358264813</v>
      </c>
      <c r="AG21" s="112">
        <f t="shared" si="40"/>
        <v>-3410.9582544722862</v>
      </c>
      <c r="AH21" s="185">
        <f t="shared" si="40"/>
        <v>-1803.0481766852802</v>
      </c>
      <c r="AI21" s="112">
        <f t="shared" si="40"/>
        <v>-2104.2208194083423</v>
      </c>
      <c r="AJ21" s="185">
        <f t="shared" si="40"/>
        <v>-3510.1258767481158</v>
      </c>
      <c r="AK21" s="185">
        <f t="shared" si="12"/>
        <v>1622.1796195251436</v>
      </c>
      <c r="AL21" s="185">
        <f t="shared" si="13"/>
        <v>5320.9242358394904</v>
      </c>
      <c r="AM21" s="185">
        <f t="shared" si="34"/>
        <v>8471.6518690917401</v>
      </c>
      <c r="AN21" s="185">
        <f t="shared" si="35"/>
        <v>7501.3395085695247</v>
      </c>
      <c r="AO21" s="185">
        <f t="shared" si="36"/>
        <v>3808.0060924951572</v>
      </c>
      <c r="AP21" s="185">
        <f t="shared" si="37"/>
        <v>16527.131782945737</v>
      </c>
      <c r="AQ21" s="185">
        <f t="shared" si="38"/>
        <v>44494.051824013113</v>
      </c>
      <c r="AR21" s="185">
        <f t="shared" si="39"/>
        <v>30023.652794823163</v>
      </c>
    </row>
    <row r="22" spans="2:44" ht="15" outlineLevel="1" thickTop="1" x14ac:dyDescent="0.3">
      <c r="B22" s="94" t="s">
        <v>125</v>
      </c>
      <c r="C22" s="94" t="s">
        <v>157</v>
      </c>
      <c r="D22" s="175">
        <v>-422.40293400000002</v>
      </c>
      <c r="E22" s="166">
        <v>-3.1018319999999999</v>
      </c>
      <c r="F22" s="175">
        <v>95.7991636</v>
      </c>
      <c r="G22" s="166">
        <v>432.98184800000001</v>
      </c>
      <c r="H22" s="175">
        <v>46.924351600000001</v>
      </c>
      <c r="I22" s="166">
        <v>673.92794500000002</v>
      </c>
      <c r="J22" s="175">
        <v>625.51848700000005</v>
      </c>
      <c r="K22" s="166">
        <v>251.58546200000001</v>
      </c>
      <c r="L22" s="175">
        <v>-1084.6556889999999</v>
      </c>
      <c r="M22" s="166">
        <v>-577.73535100000004</v>
      </c>
      <c r="N22" s="175">
        <v>-678</v>
      </c>
      <c r="O22" s="104">
        <f>+'éves P&amp;L_mérleg'!J88</f>
        <v>0</v>
      </c>
      <c r="P22" s="175">
        <v>549</v>
      </c>
      <c r="Q22" s="166">
        <v>1835</v>
      </c>
      <c r="R22" s="175">
        <v>2948</v>
      </c>
      <c r="S22" s="166"/>
      <c r="T22" s="175">
        <v>1372.1950000000013</v>
      </c>
      <c r="U22" s="388">
        <v>5861</v>
      </c>
      <c r="V22" s="388">
        <v>15743</v>
      </c>
      <c r="W22" s="388">
        <v>10761.832999999999</v>
      </c>
      <c r="Y22" s="133">
        <f t="shared" si="0"/>
        <v>-1366.5133253534341</v>
      </c>
      <c r="Z22" s="104">
        <f t="shared" si="1"/>
        <v>-10.023369740838881</v>
      </c>
      <c r="AA22" s="109">
        <f t="shared" si="2"/>
        <v>310.61268270540171</v>
      </c>
      <c r="AB22" s="182">
        <f t="shared" si="3"/>
        <v>1390.168394015283</v>
      </c>
      <c r="AC22" s="109">
        <f t="shared" si="4"/>
        <v>150.86760634022446</v>
      </c>
      <c r="AD22" s="182">
        <f t="shared" si="5"/>
        <v>2145.7206603413142</v>
      </c>
      <c r="AE22" s="109">
        <f t="shared" si="6"/>
        <v>1969.8887919632173</v>
      </c>
      <c r="AF22" s="182">
        <f t="shared" si="7"/>
        <v>788.99069213158964</v>
      </c>
      <c r="AG22" s="109">
        <f t="shared" si="40"/>
        <v>-3410.1162920111924</v>
      </c>
      <c r="AH22" s="182">
        <f t="shared" si="40"/>
        <v>-1802.212780359984</v>
      </c>
      <c r="AI22" s="109">
        <f t="shared" si="40"/>
        <v>-2098.0319346453771</v>
      </c>
      <c r="AJ22" s="182">
        <f t="shared" si="40"/>
        <v>0</v>
      </c>
      <c r="AK22" s="182">
        <f t="shared" si="12"/>
        <v>1619.230202035098</v>
      </c>
      <c r="AL22" s="182">
        <f t="shared" si="13"/>
        <v>5316.5290453426051</v>
      </c>
      <c r="AM22" s="182">
        <f t="shared" si="34"/>
        <v>8470.5341493549422</v>
      </c>
      <c r="AN22" s="182">
        <f t="shared" si="35"/>
        <v>0</v>
      </c>
      <c r="AO22" s="182">
        <f t="shared" si="36"/>
        <v>3800.0415397396878</v>
      </c>
      <c r="AP22" s="182">
        <f t="shared" si="37"/>
        <v>16521.494009866103</v>
      </c>
      <c r="AQ22" s="182">
        <f t="shared" si="38"/>
        <v>44485.574613580495</v>
      </c>
      <c r="AR22" s="182">
        <f t="shared" si="39"/>
        <v>30017.385362043955</v>
      </c>
    </row>
    <row r="23" spans="2:44" ht="29.4" outlineLevel="1" thickBot="1" x14ac:dyDescent="0.35">
      <c r="B23" s="94" t="s">
        <v>158</v>
      </c>
      <c r="C23" s="96" t="s">
        <v>159</v>
      </c>
      <c r="D23" s="176">
        <v>-0.44232200000016064</v>
      </c>
      <c r="E23" s="167">
        <v>-1.4735789999999174</v>
      </c>
      <c r="F23" s="176">
        <v>-1.8156656000004574</v>
      </c>
      <c r="G23" s="167">
        <v>2.4287220000001071</v>
      </c>
      <c r="H23" s="176">
        <v>-0.29304760000008656</v>
      </c>
      <c r="I23" s="167">
        <v>-0.92887999999970816</v>
      </c>
      <c r="J23" s="176">
        <v>-0.71469199999887678</v>
      </c>
      <c r="K23" s="167">
        <v>18.861093999999014</v>
      </c>
      <c r="L23" s="176">
        <v>-0.26780300000018542</v>
      </c>
      <c r="M23" s="167">
        <v>-0.26780300000018542</v>
      </c>
      <c r="N23" s="176">
        <v>-2</v>
      </c>
      <c r="O23" s="267">
        <f>+'éves P&amp;L_mérleg'!J89</f>
        <v>0</v>
      </c>
      <c r="P23" s="176">
        <v>2</v>
      </c>
      <c r="Q23" s="167">
        <v>2</v>
      </c>
      <c r="R23" s="176">
        <v>0</v>
      </c>
      <c r="S23" s="167"/>
      <c r="T23" s="176">
        <v>2.8759999999999999</v>
      </c>
      <c r="U23" s="388">
        <v>2</v>
      </c>
      <c r="V23" s="388">
        <v>2</v>
      </c>
      <c r="W23" s="388">
        <v>2.266</v>
      </c>
      <c r="Y23" s="133">
        <f t="shared" si="0"/>
        <v>-1.4309533822916136</v>
      </c>
      <c r="Z23" s="104">
        <f t="shared" si="1"/>
        <v>-4.761775350610475</v>
      </c>
      <c r="AA23" s="109">
        <f t="shared" si="2"/>
        <v>-5.8869904675457407</v>
      </c>
      <c r="AB23" s="182">
        <f t="shared" si="3"/>
        <v>7.7978616836836423</v>
      </c>
      <c r="AC23" s="109">
        <f t="shared" si="4"/>
        <v>-0.94218435520717159</v>
      </c>
      <c r="AD23" s="182">
        <f t="shared" si="5"/>
        <v>-2.9574630667336606</v>
      </c>
      <c r="AE23" s="109">
        <f t="shared" si="6"/>
        <v>-2.2507148705639506</v>
      </c>
      <c r="AF23" s="182">
        <f t="shared" si="7"/>
        <v>59.149791451058469</v>
      </c>
      <c r="AG23" s="109">
        <f t="shared" si="40"/>
        <v>-0.84196246109405293</v>
      </c>
      <c r="AH23" s="182">
        <f t="shared" si="40"/>
        <v>-0.83539632529614571</v>
      </c>
      <c r="AI23" s="109">
        <f t="shared" si="40"/>
        <v>-6.1888847629657127</v>
      </c>
      <c r="AJ23" s="182">
        <f t="shared" si="40"/>
        <v>0</v>
      </c>
      <c r="AK23" s="182">
        <f t="shared" si="12"/>
        <v>5.8988349800914319</v>
      </c>
      <c r="AL23" s="182">
        <f t="shared" si="13"/>
        <v>5.7945820657685063</v>
      </c>
      <c r="AM23" s="182">
        <f t="shared" si="34"/>
        <v>0</v>
      </c>
      <c r="AN23" s="182">
        <f t="shared" si="35"/>
        <v>0</v>
      </c>
      <c r="AO23" s="182">
        <f t="shared" si="36"/>
        <v>7.9645527554693984</v>
      </c>
      <c r="AP23" s="182">
        <f t="shared" si="37"/>
        <v>5.6377730796335452</v>
      </c>
      <c r="AQ23" s="182">
        <f t="shared" si="38"/>
        <v>5.6514736217468711</v>
      </c>
      <c r="AR23" s="182">
        <f t="shared" si="39"/>
        <v>6.3204284279817022</v>
      </c>
    </row>
    <row r="24" spans="2:44" ht="15.6" outlineLevel="1" thickTop="1" thickBot="1" x14ac:dyDescent="0.35">
      <c r="B24" s="89" t="s">
        <v>139</v>
      </c>
      <c r="C24" s="89" t="s">
        <v>139</v>
      </c>
      <c r="D24" s="177">
        <v>469.15931099999978</v>
      </c>
      <c r="E24" s="171">
        <v>1263.3707420000001</v>
      </c>
      <c r="F24" s="177">
        <v>1399.6039349999996</v>
      </c>
      <c r="G24" s="171">
        <v>1934.9535209999999</v>
      </c>
      <c r="H24" s="177">
        <v>405.07730499999991</v>
      </c>
      <c r="I24" s="171">
        <v>936.13325000000032</v>
      </c>
      <c r="J24" s="177">
        <v>1166.353936</v>
      </c>
      <c r="K24" s="171">
        <v>1800.566902999999</v>
      </c>
      <c r="L24" s="177">
        <v>453.83241499999986</v>
      </c>
      <c r="M24" s="171">
        <v>2122.8434949999996</v>
      </c>
      <c r="N24" s="177">
        <v>2799</v>
      </c>
      <c r="O24" s="85">
        <f>+'éves P&amp;L_mérleg'!J90</f>
        <v>3779.18</v>
      </c>
      <c r="P24" s="177">
        <f>+P12-P10-P8</f>
        <v>1160</v>
      </c>
      <c r="Q24" s="171">
        <f>+Q12-Q10-Q8</f>
        <v>3137.3770000000004</v>
      </c>
      <c r="R24" s="177">
        <v>4428.2060000000001</v>
      </c>
      <c r="S24" s="171">
        <v>5512</v>
      </c>
      <c r="T24" s="177">
        <v>2299.8390986255072</v>
      </c>
      <c r="U24" s="391">
        <v>6213</v>
      </c>
      <c r="V24" s="391">
        <v>9698</v>
      </c>
      <c r="W24" s="391">
        <v>12879.987999999998</v>
      </c>
      <c r="Y24" s="112">
        <f t="shared" si="0"/>
        <v>1517.7746142150036</v>
      </c>
      <c r="Z24" s="85">
        <f t="shared" si="1"/>
        <v>4082.500943579138</v>
      </c>
      <c r="AA24" s="112">
        <f t="shared" si="2"/>
        <v>4537.9804649503913</v>
      </c>
      <c r="AB24" s="185">
        <f t="shared" si="3"/>
        <v>6212.5265555769602</v>
      </c>
      <c r="AC24" s="112">
        <f t="shared" si="4"/>
        <v>1302.373742082757</v>
      </c>
      <c r="AD24" s="185">
        <f t="shared" si="5"/>
        <v>2980.5567052980141</v>
      </c>
      <c r="AE24" s="112">
        <f t="shared" si="6"/>
        <v>3673.0929520690302</v>
      </c>
      <c r="AF24" s="185">
        <f t="shared" si="7"/>
        <v>5646.711521936837</v>
      </c>
      <c r="AG24" s="112">
        <f t="shared" si="40"/>
        <v>1426.8318766309299</v>
      </c>
      <c r="AH24" s="185">
        <f t="shared" si="40"/>
        <v>6622.090323486289</v>
      </c>
      <c r="AI24" s="112">
        <f t="shared" si="40"/>
        <v>8661.3442257705155</v>
      </c>
      <c r="AJ24" s="185">
        <f t="shared" si="40"/>
        <v>11615.73689872445</v>
      </c>
      <c r="AK24" s="185">
        <f t="shared" si="12"/>
        <v>3421.3242884530305</v>
      </c>
      <c r="AL24" s="185">
        <f t="shared" si="13"/>
        <v>9089.8942488773027</v>
      </c>
      <c r="AM24" s="185">
        <f t="shared" si="34"/>
        <v>12723.633020141942</v>
      </c>
      <c r="AN24" s="185">
        <f t="shared" si="35"/>
        <v>15286.482888679349</v>
      </c>
      <c r="AO24" s="185">
        <f t="shared" si="36"/>
        <v>6368.9811648449377</v>
      </c>
      <c r="AP24" s="185">
        <f t="shared" si="37"/>
        <v>17513.742071881607</v>
      </c>
      <c r="AQ24" s="185">
        <f t="shared" si="38"/>
        <v>27403.995591850577</v>
      </c>
      <c r="AR24" s="185">
        <f t="shared" si="39"/>
        <v>35925.437911413581</v>
      </c>
    </row>
    <row r="25" spans="2:44" ht="15" outlineLevel="1" thickTop="1" x14ac:dyDescent="0.3">
      <c r="B25" s="147"/>
      <c r="C25" s="147"/>
      <c r="D25" s="148"/>
      <c r="E25" s="152"/>
      <c r="F25" s="148"/>
      <c r="G25" s="152"/>
      <c r="H25" s="148"/>
      <c r="I25" s="152"/>
      <c r="J25" s="148"/>
      <c r="K25" s="152"/>
      <c r="L25" s="148"/>
      <c r="M25" s="152"/>
      <c r="N25" s="148"/>
      <c r="O25" s="149"/>
      <c r="P25" s="148"/>
      <c r="Q25" s="152"/>
      <c r="R25" s="148"/>
      <c r="S25" s="152"/>
      <c r="T25" s="148"/>
      <c r="U25" s="392"/>
      <c r="V25" s="392"/>
      <c r="W25" s="392"/>
      <c r="Y25" s="148"/>
      <c r="Z25" s="149"/>
      <c r="AA25" s="148"/>
      <c r="AB25" s="149"/>
      <c r="AC25" s="148"/>
      <c r="AD25" s="149"/>
      <c r="AE25" s="148"/>
      <c r="AF25" s="149"/>
      <c r="AG25" s="148"/>
      <c r="AH25" s="149"/>
      <c r="AI25" s="148"/>
      <c r="AJ25" s="149"/>
      <c r="AK25" s="149"/>
      <c r="AL25" s="149"/>
      <c r="AM25" s="149"/>
    </row>
    <row r="26" spans="2:44" outlineLevel="1" x14ac:dyDescent="0.3">
      <c r="B26" s="25" t="s">
        <v>313</v>
      </c>
      <c r="D26" s="178">
        <v>15631176</v>
      </c>
      <c r="E26" s="172">
        <v>15631176</v>
      </c>
      <c r="F26" s="178">
        <v>15631176</v>
      </c>
      <c r="G26" s="172">
        <v>15631176</v>
      </c>
      <c r="H26" s="178">
        <v>15631176</v>
      </c>
      <c r="I26" s="172">
        <v>15631176</v>
      </c>
      <c r="J26" s="178">
        <v>15628179</v>
      </c>
      <c r="K26" s="172">
        <v>15624379</v>
      </c>
      <c r="L26" s="178">
        <v>15790216.444444444</v>
      </c>
      <c r="M26" s="172">
        <v>17207622.668508288</v>
      </c>
      <c r="N26" s="178">
        <v>17813603</v>
      </c>
      <c r="O26" s="268">
        <v>18027438.233516484</v>
      </c>
      <c r="P26" s="178">
        <v>18027438.233516484</v>
      </c>
      <c r="Q26" s="172">
        <v>18637416.729281768</v>
      </c>
      <c r="R26" s="178">
        <v>18637728</v>
      </c>
      <c r="S26" s="172">
        <v>18636921</v>
      </c>
      <c r="T26" s="178"/>
      <c r="U26" s="393"/>
      <c r="V26" s="393"/>
      <c r="W26" s="393"/>
      <c r="Y26" s="152"/>
      <c r="Z26" s="149"/>
      <c r="AA26" s="152"/>
      <c r="AB26" s="152"/>
      <c r="AC26" s="152"/>
      <c r="AD26" s="152"/>
      <c r="AE26" s="152"/>
      <c r="AF26" s="152"/>
      <c r="AG26" s="152"/>
      <c r="AH26" s="152"/>
      <c r="AI26" s="152"/>
      <c r="AJ26" s="149"/>
      <c r="AK26" s="149"/>
      <c r="AL26" s="149"/>
      <c r="AM26" s="149"/>
    </row>
    <row r="27" spans="2:44" outlineLevel="1" x14ac:dyDescent="0.3">
      <c r="B27" s="25" t="s">
        <v>314</v>
      </c>
      <c r="D27" s="178">
        <v>16401200</v>
      </c>
      <c r="E27" s="172">
        <v>16401200</v>
      </c>
      <c r="F27" s="178">
        <v>16401200</v>
      </c>
      <c r="G27" s="172">
        <v>16401200</v>
      </c>
      <c r="H27" s="178">
        <v>16401200</v>
      </c>
      <c r="I27" s="172">
        <v>16401200</v>
      </c>
      <c r="J27" s="178">
        <v>16401200</v>
      </c>
      <c r="K27" s="172">
        <v>16401200</v>
      </c>
      <c r="L27" s="178">
        <v>16567037.444444444</v>
      </c>
      <c r="M27" s="172">
        <v>17984443.668508288</v>
      </c>
      <c r="N27" s="178">
        <v>18569192</v>
      </c>
      <c r="O27" s="268">
        <v>18781080.915068492</v>
      </c>
      <c r="P27" s="178">
        <v>18781080.915068492</v>
      </c>
      <c r="Q27" s="172">
        <v>19386274</v>
      </c>
      <c r="R27" s="178">
        <v>19386274</v>
      </c>
      <c r="S27" s="172">
        <v>19386274</v>
      </c>
      <c r="T27" s="178"/>
      <c r="U27" s="393"/>
      <c r="V27" s="393"/>
      <c r="W27" s="393"/>
      <c r="Y27" s="152"/>
      <c r="Z27" s="149"/>
      <c r="AA27" s="152"/>
      <c r="AB27" s="152"/>
      <c r="AC27" s="152"/>
      <c r="AD27" s="152"/>
      <c r="AE27" s="152"/>
      <c r="AF27" s="152"/>
      <c r="AG27" s="152"/>
      <c r="AH27" s="152"/>
      <c r="AI27" s="152"/>
      <c r="AJ27" s="149"/>
      <c r="AK27" s="149"/>
      <c r="AL27" s="149"/>
      <c r="AM27" s="149"/>
    </row>
    <row r="28" spans="2:44" outlineLevel="1" x14ac:dyDescent="0.3">
      <c r="B28" s="36"/>
      <c r="D28" s="179"/>
      <c r="E28" s="173"/>
      <c r="F28" s="179"/>
      <c r="G28" s="173"/>
      <c r="H28" s="179"/>
      <c r="I28" s="173"/>
      <c r="J28" s="179"/>
      <c r="K28" s="173"/>
      <c r="L28" s="179"/>
      <c r="M28" s="173"/>
      <c r="N28" s="148"/>
      <c r="O28" s="149"/>
      <c r="P28" s="179"/>
      <c r="Q28" s="173"/>
      <c r="R28" s="148"/>
      <c r="S28" s="173"/>
      <c r="T28" s="148"/>
      <c r="U28" s="392"/>
      <c r="V28" s="392"/>
      <c r="W28" s="392"/>
      <c r="Y28" s="152"/>
      <c r="Z28" s="149"/>
      <c r="AA28" s="152"/>
      <c r="AB28" s="152"/>
      <c r="AC28" s="152"/>
      <c r="AD28" s="152"/>
      <c r="AE28" s="152"/>
      <c r="AF28" s="152"/>
      <c r="AG28" s="152"/>
      <c r="AH28" s="152"/>
      <c r="AI28" s="152"/>
      <c r="AJ28" s="149"/>
      <c r="AK28" s="149"/>
      <c r="AL28" s="149"/>
      <c r="AM28" s="149"/>
    </row>
    <row r="29" spans="2:44" outlineLevel="1" x14ac:dyDescent="0.3">
      <c r="B29" s="37" t="s">
        <v>163</v>
      </c>
      <c r="D29" s="189">
        <v>-3.9412900859154809</v>
      </c>
      <c r="E29" s="189">
        <v>37.638040989366381</v>
      </c>
      <c r="F29" s="189">
        <v>33.55064517218667</v>
      </c>
      <c r="G29" s="189">
        <v>58.378586934214034</v>
      </c>
      <c r="H29" s="189">
        <v>8.5064726160079065</v>
      </c>
      <c r="I29" s="189">
        <v>22.507348455420118</v>
      </c>
      <c r="J29" s="189">
        <v>19.452042365268532</v>
      </c>
      <c r="K29" s="189">
        <v>32.722069785941578</v>
      </c>
      <c r="L29" s="189">
        <v>-1.478349969560617</v>
      </c>
      <c r="M29" s="189">
        <v>28.102480006433151</v>
      </c>
      <c r="N29" s="189">
        <v>20.61</v>
      </c>
      <c r="O29" s="189">
        <v>15.016917128950903</v>
      </c>
      <c r="P29" s="189">
        <v>20.85</v>
      </c>
      <c r="Q29" s="189">
        <v>57</v>
      </c>
      <c r="R29" s="189">
        <v>63.09</v>
      </c>
      <c r="S29" s="189">
        <v>31.48</v>
      </c>
      <c r="T29" s="189"/>
      <c r="U29" s="189">
        <v>148.55000000000001</v>
      </c>
      <c r="V29" s="189"/>
      <c r="W29" s="189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49"/>
      <c r="AK29" s="149"/>
      <c r="AL29" s="149"/>
      <c r="AM29" s="149"/>
    </row>
    <row r="30" spans="2:44" outlineLevel="1" x14ac:dyDescent="0.3">
      <c r="B30" s="37" t="s">
        <v>164</v>
      </c>
      <c r="D30" s="189">
        <v>-3.7562494817452383</v>
      </c>
      <c r="E30" s="189">
        <v>35.870963283174405</v>
      </c>
      <c r="F30" s="189">
        <v>31.975467624320178</v>
      </c>
      <c r="G30" s="189">
        <v>55.6377562007658</v>
      </c>
      <c r="H30" s="189">
        <v>8.10710012681999</v>
      </c>
      <c r="I30" s="189">
        <v>21.450645379606371</v>
      </c>
      <c r="J30" s="189">
        <v>18.535229129575885</v>
      </c>
      <c r="K30" s="189">
        <v>31.17223251957174</v>
      </c>
      <c r="L30" s="189">
        <v>-1.4090307985528185</v>
      </c>
      <c r="M30" s="189">
        <v>26.888620015906785</v>
      </c>
      <c r="N30" s="189">
        <v>19.75</v>
      </c>
      <c r="O30" s="189">
        <v>14.414321903208245</v>
      </c>
      <c r="P30" s="189">
        <v>20.05</v>
      </c>
      <c r="Q30" s="189">
        <v>54.8</v>
      </c>
      <c r="R30" s="189">
        <v>60.65</v>
      </c>
      <c r="S30" s="189">
        <v>30.26</v>
      </c>
      <c r="T30" s="189"/>
      <c r="U30" s="189">
        <v>145.36000000000001</v>
      </c>
      <c r="V30" s="189"/>
      <c r="W30" s="189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49"/>
      <c r="AK30" s="149"/>
      <c r="AL30" s="149"/>
      <c r="AM30" s="149"/>
    </row>
    <row r="31" spans="2:44" outlineLevel="1" x14ac:dyDescent="0.3">
      <c r="B31" s="147"/>
      <c r="C31" s="147"/>
      <c r="D31" s="148"/>
      <c r="E31" s="152"/>
      <c r="F31" s="148"/>
      <c r="G31" s="152"/>
      <c r="H31" s="148"/>
      <c r="I31" s="152"/>
      <c r="J31" s="148"/>
      <c r="K31" s="152"/>
      <c r="L31" s="148"/>
      <c r="M31" s="152"/>
      <c r="N31" s="148"/>
      <c r="O31" s="149"/>
      <c r="P31" s="148"/>
      <c r="Q31" s="152"/>
      <c r="R31" s="148"/>
      <c r="S31" s="152"/>
      <c r="T31" s="148"/>
      <c r="U31" s="392"/>
      <c r="V31" s="392"/>
      <c r="W31" s="39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49"/>
      <c r="AK31" s="149"/>
      <c r="AL31" s="149"/>
      <c r="AM31" s="149"/>
    </row>
    <row r="32" spans="2:44" x14ac:dyDescent="0.3">
      <c r="D32" s="122"/>
      <c r="E32" s="106"/>
      <c r="F32" s="122"/>
      <c r="G32" s="122"/>
      <c r="H32" s="122"/>
      <c r="I32" s="122"/>
      <c r="J32" s="122"/>
      <c r="K32" s="122"/>
      <c r="L32" s="122"/>
      <c r="M32" s="122"/>
      <c r="N32" s="122"/>
      <c r="O32" s="106"/>
      <c r="P32" s="122"/>
      <c r="Q32" s="122"/>
      <c r="R32" s="122"/>
      <c r="S32" s="122"/>
      <c r="T32" s="122"/>
      <c r="U32" s="122"/>
      <c r="V32" s="122"/>
      <c r="W32" s="122"/>
      <c r="X32" s="188" t="s">
        <v>320</v>
      </c>
      <c r="Y32" s="186">
        <v>308.7</v>
      </c>
      <c r="Z32" s="186">
        <v>308.87</v>
      </c>
      <c r="AA32" s="186">
        <v>311.23</v>
      </c>
      <c r="AB32" s="186">
        <f>'éves P&amp;L_mérleg'!Q3</f>
        <v>311.02</v>
      </c>
      <c r="AC32" s="187">
        <v>312.55</v>
      </c>
      <c r="AD32" s="186">
        <v>328.6</v>
      </c>
      <c r="AE32" s="187">
        <v>323.77999999999997</v>
      </c>
      <c r="AF32" s="186">
        <f>'éves P&amp;L_mérleg'!R3</f>
        <v>310.14</v>
      </c>
      <c r="AG32" s="187">
        <v>320.79000000000002</v>
      </c>
      <c r="AH32" s="186">
        <v>323.54000000000002</v>
      </c>
      <c r="AI32" s="187">
        <v>334.65</v>
      </c>
      <c r="AJ32" s="106">
        <v>330.52</v>
      </c>
      <c r="AK32" s="106">
        <v>359.09</v>
      </c>
      <c r="AL32" s="106">
        <v>356.57</v>
      </c>
      <c r="AM32" s="106">
        <v>364.65</v>
      </c>
      <c r="AN32" s="106">
        <v>365.13</v>
      </c>
      <c r="AO32" s="106">
        <v>363.73</v>
      </c>
      <c r="AP32" s="106">
        <v>351.9</v>
      </c>
      <c r="AQ32" s="106">
        <v>360.52</v>
      </c>
      <c r="AR32" s="106">
        <v>369</v>
      </c>
    </row>
    <row r="33" spans="1:44" x14ac:dyDescent="0.3">
      <c r="A33" s="1" t="s">
        <v>0</v>
      </c>
      <c r="B33" s="153"/>
      <c r="C33" s="153" t="s">
        <v>1</v>
      </c>
      <c r="D33" s="137">
        <v>42825</v>
      </c>
      <c r="E33" s="137">
        <v>42916</v>
      </c>
      <c r="F33" s="137">
        <v>43008</v>
      </c>
      <c r="G33" s="137">
        <v>43100</v>
      </c>
      <c r="H33" s="137">
        <v>43190</v>
      </c>
      <c r="I33" s="137">
        <v>43281</v>
      </c>
      <c r="J33" s="137">
        <v>43373</v>
      </c>
      <c r="K33" s="137">
        <v>43465</v>
      </c>
      <c r="L33" s="137">
        <v>43555</v>
      </c>
      <c r="M33" s="137">
        <v>43646</v>
      </c>
      <c r="N33" s="137">
        <v>43738</v>
      </c>
      <c r="O33" s="137">
        <v>43830</v>
      </c>
      <c r="P33" s="137">
        <v>43921</v>
      </c>
      <c r="Q33" s="137">
        <v>44012</v>
      </c>
      <c r="R33" s="137">
        <v>44104</v>
      </c>
      <c r="S33" s="137">
        <v>44196</v>
      </c>
      <c r="T33" s="137">
        <v>44286</v>
      </c>
      <c r="U33" s="137">
        <v>44377</v>
      </c>
      <c r="V33" s="137">
        <v>44469</v>
      </c>
      <c r="W33" s="137">
        <v>44561</v>
      </c>
      <c r="X33" s="138"/>
      <c r="Y33" s="137">
        <v>42825</v>
      </c>
      <c r="Z33" s="137">
        <v>42916</v>
      </c>
      <c r="AA33" s="137">
        <v>43008</v>
      </c>
      <c r="AB33" s="137">
        <v>43100</v>
      </c>
      <c r="AC33" s="137">
        <v>43190</v>
      </c>
      <c r="AD33" s="137">
        <v>43281</v>
      </c>
      <c r="AE33" s="137">
        <v>43373</v>
      </c>
      <c r="AF33" s="137">
        <v>43465</v>
      </c>
      <c r="AG33" s="137">
        <v>43555</v>
      </c>
      <c r="AH33" s="137">
        <v>43646</v>
      </c>
      <c r="AI33" s="137">
        <v>43738</v>
      </c>
      <c r="AJ33" s="137">
        <v>43830</v>
      </c>
      <c r="AK33" s="137" t="str">
        <f>+AK3</f>
        <v>2020 Q1</v>
      </c>
      <c r="AL33" s="137" t="str">
        <f>+AL3</f>
        <v>2020 Q2</v>
      </c>
      <c r="AM33" s="137" t="str">
        <f>+AM3</f>
        <v>2020 Q3</v>
      </c>
      <c r="AN33" s="137" t="s">
        <v>439</v>
      </c>
      <c r="AO33" s="137" t="s">
        <v>444</v>
      </c>
      <c r="AP33" s="137" t="s">
        <v>467</v>
      </c>
      <c r="AQ33" s="137" t="s">
        <v>468</v>
      </c>
      <c r="AR33" s="137" t="s">
        <v>468</v>
      </c>
    </row>
    <row r="34" spans="1:44" ht="15" customHeight="1" thickBot="1" x14ac:dyDescent="0.35">
      <c r="B34" s="153" t="s">
        <v>93</v>
      </c>
      <c r="C34" s="154" t="s">
        <v>166</v>
      </c>
      <c r="D34" s="135" t="s">
        <v>170</v>
      </c>
      <c r="E34" s="135" t="s">
        <v>170</v>
      </c>
      <c r="F34" s="135" t="s">
        <v>170</v>
      </c>
      <c r="G34" s="135" t="s">
        <v>170</v>
      </c>
      <c r="H34" s="135" t="s">
        <v>170</v>
      </c>
      <c r="I34" s="135" t="s">
        <v>170</v>
      </c>
      <c r="J34" s="135" t="s">
        <v>170</v>
      </c>
      <c r="K34" s="135" t="s">
        <v>170</v>
      </c>
      <c r="L34" s="135" t="s">
        <v>170</v>
      </c>
      <c r="M34" s="135" t="s">
        <v>170</v>
      </c>
      <c r="N34" s="135" t="s">
        <v>170</v>
      </c>
      <c r="O34" s="135" t="s">
        <v>440</v>
      </c>
      <c r="P34" s="135" t="s">
        <v>170</v>
      </c>
      <c r="Q34" s="135" t="s">
        <v>170</v>
      </c>
      <c r="R34" s="135" t="s">
        <v>170</v>
      </c>
      <c r="S34" s="135" t="s">
        <v>440</v>
      </c>
      <c r="T34" s="135" t="s">
        <v>170</v>
      </c>
      <c r="U34" s="135" t="s">
        <v>170</v>
      </c>
      <c r="V34" s="135" t="s">
        <v>170</v>
      </c>
      <c r="W34" s="135" t="s">
        <v>170</v>
      </c>
      <c r="Y34" s="136" t="s">
        <v>316</v>
      </c>
      <c r="Z34" s="101" t="str">
        <f>Y34</f>
        <v>not audited</v>
      </c>
      <c r="AA34" s="101" t="str">
        <f t="shared" ref="AA34:AJ34" si="41">Z34</f>
        <v>not audited</v>
      </c>
      <c r="AB34" s="101" t="str">
        <f t="shared" si="41"/>
        <v>not audited</v>
      </c>
      <c r="AC34" s="101" t="str">
        <f t="shared" si="41"/>
        <v>not audited</v>
      </c>
      <c r="AD34" s="101" t="str">
        <f t="shared" si="41"/>
        <v>not audited</v>
      </c>
      <c r="AE34" s="101" t="str">
        <f t="shared" si="41"/>
        <v>not audited</v>
      </c>
      <c r="AF34" s="101" t="str">
        <f t="shared" si="41"/>
        <v>not audited</v>
      </c>
      <c r="AG34" s="101" t="str">
        <f t="shared" si="41"/>
        <v>not audited</v>
      </c>
      <c r="AH34" s="101" t="str">
        <f t="shared" si="41"/>
        <v>not audited</v>
      </c>
      <c r="AI34" s="101" t="str">
        <f t="shared" si="41"/>
        <v>not audited</v>
      </c>
      <c r="AJ34" s="101" t="str">
        <f t="shared" si="41"/>
        <v>not audited</v>
      </c>
      <c r="AK34" s="101" t="str">
        <f t="shared" ref="AK34" si="42">AJ34</f>
        <v>not audited</v>
      </c>
      <c r="AL34" s="101" t="str">
        <f t="shared" ref="AL34" si="43">AK34</f>
        <v>not audited</v>
      </c>
      <c r="AM34" s="101" t="str">
        <f t="shared" ref="AM34" si="44">AL34</f>
        <v>not audited</v>
      </c>
      <c r="AN34" s="101" t="s">
        <v>441</v>
      </c>
      <c r="AO34" s="101" t="s">
        <v>316</v>
      </c>
      <c r="AP34" s="101" t="s">
        <v>316</v>
      </c>
      <c r="AQ34" s="101" t="s">
        <v>316</v>
      </c>
      <c r="AR34" s="101" t="s">
        <v>316</v>
      </c>
    </row>
    <row r="35" spans="1:44" ht="15" thickBot="1" x14ac:dyDescent="0.35">
      <c r="B35" s="98" t="s">
        <v>4</v>
      </c>
      <c r="C35" s="98" t="s">
        <v>5</v>
      </c>
      <c r="D35" s="114">
        <v>6558.3052749999988</v>
      </c>
      <c r="E35" s="123">
        <v>6414.710567000001</v>
      </c>
      <c r="F35" s="114">
        <v>6281.6386899999998</v>
      </c>
      <c r="G35" s="123">
        <v>7546.1141420000013</v>
      </c>
      <c r="H35" s="114">
        <v>9264.8362820000002</v>
      </c>
      <c r="I35" s="123">
        <v>8980.4142399999982</v>
      </c>
      <c r="J35" s="114">
        <v>11905.617623000004</v>
      </c>
      <c r="K35" s="123">
        <v>13716.254757999999</v>
      </c>
      <c r="L35" s="114">
        <v>16324.202993999999</v>
      </c>
      <c r="M35" s="123">
        <v>24087.058890999997</v>
      </c>
      <c r="N35" s="114">
        <v>24058</v>
      </c>
      <c r="O35" s="123">
        <v>24465</v>
      </c>
      <c r="P35" s="114">
        <v>25538</v>
      </c>
      <c r="Q35" s="123">
        <v>25768.705000000002</v>
      </c>
      <c r="R35" s="114">
        <v>26335</v>
      </c>
      <c r="S35" s="123">
        <f>+'éves P&amp;L_mérleg'!K6</f>
        <v>31065.255000000001</v>
      </c>
      <c r="T35" s="114">
        <v>30967.454000000002</v>
      </c>
      <c r="U35" s="123">
        <f>+'féléves P&amp;L_mérleg'!H54</f>
        <v>29983.1</v>
      </c>
      <c r="V35" s="123">
        <v>31287.958999999999</v>
      </c>
      <c r="W35" s="123">
        <v>31370.772000000001</v>
      </c>
      <c r="Y35" s="114">
        <f t="shared" ref="Y35:Y38" si="45">D35/$AI$41*1000</f>
        <v>19597.505677573583</v>
      </c>
      <c r="Z35" s="123">
        <f t="shared" ref="Z35:Z38" si="46">E35/$AI$41*1000</f>
        <v>19168.416455998809</v>
      </c>
      <c r="AA35" s="114">
        <f t="shared" ref="AA35:AA38" si="47">F35/$AI$41*1000</f>
        <v>18770.771522486179</v>
      </c>
      <c r="AB35" s="123">
        <f t="shared" ref="AB35:AB38" si="48">G35/$AI$41*1000</f>
        <v>22549.272798446142</v>
      </c>
      <c r="AC35" s="114">
        <f t="shared" ref="AC35:AC38" si="49">H35/$AI$41*1000</f>
        <v>27685.152493650083</v>
      </c>
      <c r="AD35" s="123">
        <f t="shared" ref="AD35:AD38" si="50">I35/$AI$41*1000</f>
        <v>26835.24350814283</v>
      </c>
      <c r="AE35" s="114">
        <f t="shared" ref="AE35:AE38" si="51">J35/$AI$41*1000</f>
        <v>35576.326379799801</v>
      </c>
      <c r="AF35" s="123">
        <f t="shared" ref="AF35:AF38" si="52">K35/$AI$41*1000</f>
        <v>40986.86615269685</v>
      </c>
      <c r="AG35" s="114">
        <f t="shared" ref="AG35:AG38" si="53">L35/$AI$41*1000</f>
        <v>48779.92826535186</v>
      </c>
      <c r="AH35" s="123">
        <f t="shared" ref="AH35:AH38" si="54">M35/$AI$41*1000</f>
        <v>71976.86804422531</v>
      </c>
      <c r="AI35" s="114">
        <f t="shared" ref="AI35:AI38" si="55">N35/$AI$41*1000</f>
        <v>71890.03436426117</v>
      </c>
      <c r="AJ35" s="123">
        <f t="shared" ref="AJ35:AJ38" si="56">O35/$AI$41*1000</f>
        <v>73106.230389959659</v>
      </c>
      <c r="AK35" s="114">
        <f t="shared" ref="AK35:AM38" si="57">P35/$AM$32*1000</f>
        <v>70034.279446044151</v>
      </c>
      <c r="AL35" s="123">
        <f t="shared" si="57"/>
        <v>70666.954614013448</v>
      </c>
      <c r="AM35" s="114">
        <f t="shared" si="57"/>
        <v>72219.936925819289</v>
      </c>
      <c r="AN35" s="114">
        <f t="shared" ref="AN35:AR38" si="58">S35/AN$32*1000</f>
        <v>85079.985210746861</v>
      </c>
      <c r="AO35" s="114">
        <f t="shared" si="58"/>
        <v>85138.575316855902</v>
      </c>
      <c r="AP35" s="114">
        <f t="shared" si="58"/>
        <v>85203.466894003985</v>
      </c>
      <c r="AQ35" s="114">
        <f t="shared" si="58"/>
        <v>86785.640186397432</v>
      </c>
      <c r="AR35" s="114">
        <f t="shared" si="58"/>
        <v>85015.642276422761</v>
      </c>
    </row>
    <row r="36" spans="1:44" ht="29.4" thickBot="1" x14ac:dyDescent="0.35">
      <c r="B36" s="98" t="s">
        <v>173</v>
      </c>
      <c r="C36" s="98" t="s">
        <v>27</v>
      </c>
      <c r="D36" s="117">
        <v>9012.5330919999997</v>
      </c>
      <c r="E36" s="126">
        <v>8405.1333379999996</v>
      </c>
      <c r="F36" s="117">
        <v>8474.491947999999</v>
      </c>
      <c r="G36" s="126">
        <v>9048.883253</v>
      </c>
      <c r="H36" s="117">
        <v>7628.5977700000003</v>
      </c>
      <c r="I36" s="126">
        <v>6946.6078729999999</v>
      </c>
      <c r="J36" s="117">
        <v>7752.4946860000018</v>
      </c>
      <c r="K36" s="126">
        <v>9142.8433459999997</v>
      </c>
      <c r="L36" s="117">
        <v>9461.3970979999995</v>
      </c>
      <c r="M36" s="126">
        <v>9124.4046550000003</v>
      </c>
      <c r="N36" s="117">
        <v>9121</v>
      </c>
      <c r="O36" s="126">
        <v>13211</v>
      </c>
      <c r="P36" s="117">
        <v>14068</v>
      </c>
      <c r="Q36" s="126">
        <v>12068.826999999999</v>
      </c>
      <c r="R36" s="117">
        <v>10852</v>
      </c>
      <c r="S36" s="126">
        <f>+'éves P&amp;L_mérleg'!K19</f>
        <v>13819.105</v>
      </c>
      <c r="T36" s="117">
        <v>14265.504999999999</v>
      </c>
      <c r="U36" s="126">
        <f>+'féléves P&amp;L_mérleg'!H67</f>
        <v>19112</v>
      </c>
      <c r="V36" s="126">
        <v>32826.106</v>
      </c>
      <c r="W36" s="126">
        <v>29389.975999999999</v>
      </c>
      <c r="Y36" s="117">
        <f t="shared" si="45"/>
        <v>26931.220953234726</v>
      </c>
      <c r="Z36" s="126">
        <f t="shared" si="46"/>
        <v>25116.191059315704</v>
      </c>
      <c r="AA36" s="117">
        <f t="shared" si="47"/>
        <v>25323.448223517105</v>
      </c>
      <c r="AB36" s="126">
        <f t="shared" si="48"/>
        <v>27039.842381592709</v>
      </c>
      <c r="AC36" s="117">
        <f t="shared" si="49"/>
        <v>22795.750097116394</v>
      </c>
      <c r="AD36" s="126">
        <f t="shared" si="50"/>
        <v>20757.830189750486</v>
      </c>
      <c r="AE36" s="117">
        <f t="shared" si="51"/>
        <v>23165.978443149565</v>
      </c>
      <c r="AF36" s="126">
        <f t="shared" si="52"/>
        <v>27320.613614223817</v>
      </c>
      <c r="AG36" s="117">
        <f t="shared" si="53"/>
        <v>28272.514860301806</v>
      </c>
      <c r="AH36" s="126">
        <f t="shared" si="54"/>
        <v>27265.515180038848</v>
      </c>
      <c r="AI36" s="117">
        <f t="shared" si="55"/>
        <v>27255.341401464219</v>
      </c>
      <c r="AJ36" s="126">
        <f t="shared" si="56"/>
        <v>39477.065590915881</v>
      </c>
      <c r="AK36" s="117">
        <f t="shared" si="57"/>
        <v>38579.459755930344</v>
      </c>
      <c r="AL36" s="126">
        <f t="shared" si="57"/>
        <v>33097.016317016321</v>
      </c>
      <c r="AM36" s="117">
        <f t="shared" si="57"/>
        <v>29760.04387769094</v>
      </c>
      <c r="AN36" s="117">
        <f t="shared" si="58"/>
        <v>37847.08186125489</v>
      </c>
      <c r="AO36" s="117">
        <f t="shared" si="58"/>
        <v>39220.039589805623</v>
      </c>
      <c r="AP36" s="117">
        <f t="shared" si="58"/>
        <v>54310.883773799374</v>
      </c>
      <c r="AQ36" s="117">
        <f t="shared" si="58"/>
        <v>91052.108066126704</v>
      </c>
      <c r="AR36" s="117">
        <f t="shared" si="58"/>
        <v>79647.631436314361</v>
      </c>
    </row>
    <row r="37" spans="1:44" ht="15" thickBot="1" x14ac:dyDescent="0.35">
      <c r="B37" s="97" t="s">
        <v>38</v>
      </c>
      <c r="C37" s="97" t="s">
        <v>39</v>
      </c>
      <c r="D37" s="118">
        <v>4310.0533619999997</v>
      </c>
      <c r="E37" s="127">
        <v>2644.3591240000001</v>
      </c>
      <c r="F37" s="118">
        <v>2689.4344040000001</v>
      </c>
      <c r="G37" s="127">
        <v>2825.6977069999998</v>
      </c>
      <c r="H37" s="118">
        <v>1799.4891869999999</v>
      </c>
      <c r="I37" s="127">
        <v>1343.0653239999999</v>
      </c>
      <c r="J37" s="118">
        <v>1279.6907329999999</v>
      </c>
      <c r="K37" s="127">
        <v>2561.2183420000001</v>
      </c>
      <c r="L37" s="118">
        <v>3573.626659</v>
      </c>
      <c r="M37" s="127">
        <v>2332.786779</v>
      </c>
      <c r="N37" s="118">
        <v>3564</v>
      </c>
      <c r="O37" s="127">
        <v>4897</v>
      </c>
      <c r="P37" s="118">
        <v>3619</v>
      </c>
      <c r="Q37" s="127">
        <v>3968</v>
      </c>
      <c r="R37" s="118">
        <v>2848</v>
      </c>
      <c r="S37" s="127">
        <f>+'éves P&amp;L_mérleg'!K27</f>
        <v>3455.0450000000001</v>
      </c>
      <c r="T37" s="118">
        <v>4250.3379999999997</v>
      </c>
      <c r="U37" s="127">
        <f>+'féléves P&amp;L_mérleg'!H74</f>
        <v>7154</v>
      </c>
      <c r="V37" s="127">
        <v>9675.875</v>
      </c>
      <c r="W37" s="127">
        <v>3679.2530000000002</v>
      </c>
      <c r="Y37" s="118">
        <f t="shared" si="45"/>
        <v>12879.286902734199</v>
      </c>
      <c r="Z37" s="127">
        <f t="shared" si="46"/>
        <v>7901.8650052293451</v>
      </c>
      <c r="AA37" s="118">
        <f t="shared" si="47"/>
        <v>8036.5588047213523</v>
      </c>
      <c r="AB37" s="127">
        <f t="shared" si="48"/>
        <v>8443.7403466308078</v>
      </c>
      <c r="AC37" s="118">
        <f t="shared" si="49"/>
        <v>5377.2275123263116</v>
      </c>
      <c r="AD37" s="127">
        <f t="shared" si="50"/>
        <v>4013.3432660989092</v>
      </c>
      <c r="AE37" s="118">
        <f t="shared" si="51"/>
        <v>3823.9675272672944</v>
      </c>
      <c r="AF37" s="127">
        <f t="shared" si="52"/>
        <v>7653.4240011952797</v>
      </c>
      <c r="AG37" s="118">
        <f t="shared" si="53"/>
        <v>10678.6991154938</v>
      </c>
      <c r="AH37" s="127">
        <f t="shared" si="54"/>
        <v>6970.825575974899</v>
      </c>
      <c r="AI37" s="118">
        <f t="shared" si="55"/>
        <v>10649.932765575975</v>
      </c>
      <c r="AJ37" s="127">
        <f t="shared" si="56"/>
        <v>14633.198864485283</v>
      </c>
      <c r="AK37" s="118">
        <f t="shared" si="57"/>
        <v>9924.5852187028668</v>
      </c>
      <c r="AL37" s="127">
        <f t="shared" si="57"/>
        <v>10881.667352255588</v>
      </c>
      <c r="AM37" s="118">
        <f t="shared" si="57"/>
        <v>7810.2289866995761</v>
      </c>
      <c r="AN37" s="118">
        <f t="shared" si="58"/>
        <v>9462.5065045326319</v>
      </c>
      <c r="AO37" s="118">
        <f t="shared" si="58"/>
        <v>11685.420504220161</v>
      </c>
      <c r="AP37" s="118">
        <f t="shared" si="58"/>
        <v>20329.63910201762</v>
      </c>
      <c r="AQ37" s="118">
        <f t="shared" si="58"/>
        <v>26838.663597026516</v>
      </c>
      <c r="AR37" s="118">
        <f t="shared" si="58"/>
        <v>9970.875338753387</v>
      </c>
    </row>
    <row r="38" spans="1:44" ht="15.6" thickTop="1" thickBot="1" x14ac:dyDescent="0.35">
      <c r="B38" s="99" t="s">
        <v>42</v>
      </c>
      <c r="C38" s="99" t="s">
        <v>43</v>
      </c>
      <c r="D38" s="119">
        <f t="shared" ref="D38:O38" si="59">D36+D35</f>
        <v>15570.838366999998</v>
      </c>
      <c r="E38" s="128">
        <f t="shared" si="59"/>
        <v>14819.843905000002</v>
      </c>
      <c r="F38" s="119">
        <f t="shared" si="59"/>
        <v>14756.130637999999</v>
      </c>
      <c r="G38" s="128">
        <f t="shared" si="59"/>
        <v>16594.997395000002</v>
      </c>
      <c r="H38" s="119">
        <f t="shared" si="59"/>
        <v>16893.434052000001</v>
      </c>
      <c r="I38" s="128">
        <f t="shared" si="59"/>
        <v>15927.022112999999</v>
      </c>
      <c r="J38" s="119">
        <f t="shared" si="59"/>
        <v>19658.112309000004</v>
      </c>
      <c r="K38" s="128">
        <f t="shared" si="59"/>
        <v>22859.098103999997</v>
      </c>
      <c r="L38" s="119">
        <f t="shared" si="59"/>
        <v>25785.600092000001</v>
      </c>
      <c r="M38" s="128">
        <f t="shared" si="59"/>
        <v>33211.463545999999</v>
      </c>
      <c r="N38" s="119">
        <v>33179</v>
      </c>
      <c r="O38" s="119">
        <f t="shared" si="59"/>
        <v>37676</v>
      </c>
      <c r="P38" s="119">
        <v>39606</v>
      </c>
      <c r="Q38" s="128">
        <v>37878</v>
      </c>
      <c r="R38" s="119">
        <v>37187</v>
      </c>
      <c r="S38" s="128">
        <f>+'éves P&amp;L_mérleg'!K31</f>
        <v>44884.36</v>
      </c>
      <c r="T38" s="119">
        <v>45233</v>
      </c>
      <c r="U38" s="128">
        <f>+'féléves P&amp;L_mérleg'!H78</f>
        <v>49095.1</v>
      </c>
      <c r="V38" s="128">
        <v>64114.065000000002</v>
      </c>
      <c r="W38" s="128">
        <v>60760.748</v>
      </c>
      <c r="Y38" s="119">
        <f t="shared" si="45"/>
        <v>46528.726630808305</v>
      </c>
      <c r="Z38" s="128">
        <f t="shared" si="46"/>
        <v>44284.607515314514</v>
      </c>
      <c r="AA38" s="119">
        <f t="shared" si="47"/>
        <v>44094.219746003284</v>
      </c>
      <c r="AB38" s="128">
        <f t="shared" si="48"/>
        <v>49589.115180038862</v>
      </c>
      <c r="AC38" s="119">
        <f t="shared" si="49"/>
        <v>50480.902590766476</v>
      </c>
      <c r="AD38" s="128">
        <f t="shared" si="50"/>
        <v>47593.073697893327</v>
      </c>
      <c r="AE38" s="119">
        <f t="shared" si="51"/>
        <v>58742.304822949365</v>
      </c>
      <c r="AF38" s="128">
        <f t="shared" si="52"/>
        <v>68307.47976692066</v>
      </c>
      <c r="AG38" s="119">
        <f t="shared" si="53"/>
        <v>77052.443125653677</v>
      </c>
      <c r="AH38" s="128">
        <f t="shared" si="54"/>
        <v>99242.383224264166</v>
      </c>
      <c r="AI38" s="119">
        <f t="shared" si="55"/>
        <v>99145.375765725388</v>
      </c>
      <c r="AJ38" s="128">
        <f t="shared" si="56"/>
        <v>112583.29598087554</v>
      </c>
      <c r="AK38" s="119">
        <f t="shared" si="57"/>
        <v>108613.7392019745</v>
      </c>
      <c r="AL38" s="128">
        <f t="shared" si="57"/>
        <v>103874.94858083094</v>
      </c>
      <c r="AM38" s="119">
        <f t="shared" si="57"/>
        <v>101979.98080351022</v>
      </c>
      <c r="AN38" s="119">
        <f t="shared" si="58"/>
        <v>122927.06707200177</v>
      </c>
      <c r="AO38" s="119">
        <f t="shared" si="58"/>
        <v>124358.72762763588</v>
      </c>
      <c r="AP38" s="119">
        <f t="shared" si="58"/>
        <v>139514.35066780337</v>
      </c>
      <c r="AQ38" s="119">
        <f t="shared" si="58"/>
        <v>177837.74825252415</v>
      </c>
      <c r="AR38" s="119">
        <f t="shared" si="58"/>
        <v>164663.27371273714</v>
      </c>
    </row>
    <row r="39" spans="1:44" ht="15" thickTop="1" x14ac:dyDescent="0.3">
      <c r="D39" s="113"/>
      <c r="E39" s="122"/>
      <c r="F39" s="142"/>
      <c r="G39" s="122"/>
      <c r="H39" s="142"/>
      <c r="I39" s="122"/>
      <c r="J39" s="142"/>
      <c r="K39" s="122"/>
      <c r="L39" s="142"/>
      <c r="M39" s="122"/>
      <c r="N39" s="142"/>
      <c r="O39" s="122"/>
      <c r="P39" s="142"/>
      <c r="Q39" s="142"/>
      <c r="R39" s="142"/>
      <c r="S39" s="142"/>
      <c r="T39" s="142"/>
      <c r="U39" s="142"/>
      <c r="V39" s="142"/>
      <c r="W39" s="142"/>
      <c r="Y39" s="143"/>
      <c r="Z39" s="143"/>
      <c r="AA39" s="143"/>
      <c r="AB39" s="122"/>
      <c r="AC39" s="142"/>
      <c r="AD39" s="122"/>
      <c r="AE39" s="142"/>
      <c r="AF39" s="122"/>
      <c r="AG39" s="142"/>
      <c r="AH39" s="122"/>
      <c r="AI39" s="142"/>
      <c r="AJ39" s="122"/>
      <c r="AK39" s="122"/>
      <c r="AL39" s="122"/>
      <c r="AM39" s="122"/>
    </row>
    <row r="40" spans="1:44" ht="18" outlineLevel="1" x14ac:dyDescent="0.35">
      <c r="D40" s="113"/>
      <c r="E40" s="122"/>
      <c r="F40" s="142"/>
      <c r="G40" s="122"/>
      <c r="H40" s="142"/>
      <c r="I40" s="122"/>
      <c r="J40" s="142"/>
      <c r="K40" s="122"/>
      <c r="L40" s="142"/>
      <c r="M40" s="122"/>
      <c r="N40" s="142"/>
      <c r="O40" s="122"/>
      <c r="P40" s="142"/>
      <c r="Q40" s="142"/>
      <c r="R40" s="142"/>
      <c r="S40" s="142"/>
      <c r="T40" s="142"/>
      <c r="U40" s="142"/>
      <c r="V40" s="142"/>
      <c r="W40" s="142"/>
      <c r="Y40" s="419" t="s">
        <v>290</v>
      </c>
      <c r="Z40" s="419"/>
      <c r="AB40" s="122"/>
      <c r="AC40" s="142"/>
      <c r="AD40" s="122"/>
      <c r="AE40" s="142"/>
      <c r="AF40" s="122"/>
      <c r="AG40" s="142"/>
      <c r="AH40" s="122"/>
      <c r="AI40" s="142"/>
      <c r="AJ40" s="122"/>
      <c r="AK40" s="122"/>
      <c r="AL40" s="122"/>
      <c r="AM40" s="122"/>
    </row>
    <row r="41" spans="1:44" outlineLevel="1" x14ac:dyDescent="0.3">
      <c r="D41" s="113"/>
      <c r="E41" s="122"/>
      <c r="F41" s="142"/>
      <c r="G41" s="122"/>
      <c r="H41" s="142"/>
      <c r="I41" s="122"/>
      <c r="J41" s="142"/>
      <c r="K41" s="122"/>
      <c r="L41" s="142"/>
      <c r="M41" s="122"/>
      <c r="N41" s="142"/>
      <c r="O41" s="122"/>
      <c r="P41" s="142"/>
      <c r="Q41" s="142"/>
      <c r="R41" s="142"/>
      <c r="S41" s="142"/>
      <c r="T41" s="142"/>
      <c r="U41" s="142"/>
      <c r="V41" s="142"/>
      <c r="W41" s="142"/>
      <c r="Y41" s="106">
        <f>Y32</f>
        <v>308.7</v>
      </c>
      <c r="Z41" s="186">
        <f t="shared" ref="Z41:AJ41" si="60">Z32</f>
        <v>308.87</v>
      </c>
      <c r="AA41" s="186">
        <f t="shared" si="60"/>
        <v>311.23</v>
      </c>
      <c r="AB41" s="186">
        <f t="shared" si="60"/>
        <v>311.02</v>
      </c>
      <c r="AC41" s="186">
        <f t="shared" si="60"/>
        <v>312.55</v>
      </c>
      <c r="AD41" s="186">
        <f t="shared" si="60"/>
        <v>328.6</v>
      </c>
      <c r="AE41" s="186">
        <f t="shared" si="60"/>
        <v>323.77999999999997</v>
      </c>
      <c r="AF41" s="186">
        <f t="shared" si="60"/>
        <v>310.14</v>
      </c>
      <c r="AG41" s="186">
        <f t="shared" si="60"/>
        <v>320.79000000000002</v>
      </c>
      <c r="AH41" s="186">
        <f t="shared" si="60"/>
        <v>323.54000000000002</v>
      </c>
      <c r="AI41" s="186">
        <f t="shared" si="60"/>
        <v>334.65</v>
      </c>
      <c r="AJ41" s="186">
        <f t="shared" si="60"/>
        <v>330.52</v>
      </c>
      <c r="AK41" s="186">
        <f t="shared" ref="AK41:AN41" si="61">AK32</f>
        <v>359.09</v>
      </c>
      <c r="AL41" s="186">
        <f t="shared" si="61"/>
        <v>356.57</v>
      </c>
      <c r="AM41" s="186">
        <f t="shared" si="61"/>
        <v>364.65</v>
      </c>
      <c r="AN41" s="186">
        <f t="shared" si="61"/>
        <v>365.13</v>
      </c>
      <c r="AO41" s="186">
        <f t="shared" ref="AO41:AP41" si="62">AO32</f>
        <v>363.73</v>
      </c>
      <c r="AP41" s="186">
        <f t="shared" si="62"/>
        <v>351.9</v>
      </c>
      <c r="AQ41" s="186">
        <f t="shared" ref="AQ41:AR41" si="63">AQ32</f>
        <v>360.52</v>
      </c>
      <c r="AR41" s="186">
        <f t="shared" si="63"/>
        <v>369</v>
      </c>
    </row>
    <row r="42" spans="1:44" outlineLevel="1" x14ac:dyDescent="0.3">
      <c r="B42" s="91"/>
      <c r="C42" s="91"/>
      <c r="D42" s="137">
        <v>42825</v>
      </c>
      <c r="E42" s="137">
        <v>42916</v>
      </c>
      <c r="F42" s="137">
        <v>43008</v>
      </c>
      <c r="G42" s="137">
        <v>43100</v>
      </c>
      <c r="H42" s="137">
        <v>43190</v>
      </c>
      <c r="I42" s="137">
        <v>43281</v>
      </c>
      <c r="J42" s="137">
        <v>43373</v>
      </c>
      <c r="K42" s="137">
        <v>43465</v>
      </c>
      <c r="L42" s="137">
        <v>43555</v>
      </c>
      <c r="M42" s="137">
        <v>43646</v>
      </c>
      <c r="N42" s="137">
        <v>43738</v>
      </c>
      <c r="O42" s="137">
        <v>43830</v>
      </c>
      <c r="P42" s="137">
        <v>43921</v>
      </c>
      <c r="Q42" s="137">
        <v>44012</v>
      </c>
      <c r="R42" s="137">
        <v>44104</v>
      </c>
      <c r="S42" s="137">
        <v>44196</v>
      </c>
      <c r="T42" s="137">
        <v>44286</v>
      </c>
      <c r="U42" s="137">
        <v>44377</v>
      </c>
      <c r="V42" s="137">
        <f>+V33</f>
        <v>44469</v>
      </c>
      <c r="W42" s="137">
        <f>+W33</f>
        <v>44561</v>
      </c>
      <c r="X42" s="145"/>
      <c r="Y42" s="137">
        <f>Y33</f>
        <v>42825</v>
      </c>
      <c r="Z42" s="137">
        <f t="shared" ref="Z42:AH42" si="64">Z33</f>
        <v>42916</v>
      </c>
      <c r="AA42" s="137">
        <f t="shared" si="64"/>
        <v>43008</v>
      </c>
      <c r="AB42" s="137">
        <f t="shared" si="64"/>
        <v>43100</v>
      </c>
      <c r="AC42" s="137">
        <f t="shared" si="64"/>
        <v>43190</v>
      </c>
      <c r="AD42" s="137">
        <f t="shared" si="64"/>
        <v>43281</v>
      </c>
      <c r="AE42" s="137">
        <f t="shared" si="64"/>
        <v>43373</v>
      </c>
      <c r="AF42" s="137">
        <f t="shared" si="64"/>
        <v>43465</v>
      </c>
      <c r="AG42" s="137">
        <f t="shared" si="64"/>
        <v>43555</v>
      </c>
      <c r="AH42" s="137">
        <f t="shared" si="64"/>
        <v>43646</v>
      </c>
      <c r="AI42" s="137">
        <f t="shared" ref="AI42" si="65">AI33</f>
        <v>43738</v>
      </c>
      <c r="AJ42" s="137">
        <v>43830</v>
      </c>
      <c r="AK42" s="137" t="str">
        <f>+AK33</f>
        <v>2020 Q1</v>
      </c>
      <c r="AL42" s="137" t="str">
        <f t="shared" ref="AL42:AM42" si="66">+AL33</f>
        <v>2020 Q2</v>
      </c>
      <c r="AM42" s="137" t="str">
        <f t="shared" si="66"/>
        <v>2020 Q3</v>
      </c>
      <c r="AN42" s="137" t="s">
        <v>439</v>
      </c>
      <c r="AO42" s="137" t="s">
        <v>444</v>
      </c>
      <c r="AP42" s="137" t="s">
        <v>467</v>
      </c>
      <c r="AQ42" s="137" t="s">
        <v>468</v>
      </c>
      <c r="AR42" s="137" t="s">
        <v>468</v>
      </c>
    </row>
    <row r="43" spans="1:44" ht="15" customHeight="1" outlineLevel="1" thickBot="1" x14ac:dyDescent="0.35">
      <c r="B43" s="91"/>
      <c r="C43" s="91"/>
      <c r="D43" s="135" t="s">
        <v>170</v>
      </c>
      <c r="E43" s="135" t="s">
        <v>170</v>
      </c>
      <c r="F43" s="135" t="s">
        <v>170</v>
      </c>
      <c r="G43" s="135" t="s">
        <v>170</v>
      </c>
      <c r="H43" s="135" t="s">
        <v>170</v>
      </c>
      <c r="I43" s="135" t="s">
        <v>170</v>
      </c>
      <c r="J43" s="135" t="s">
        <v>170</v>
      </c>
      <c r="K43" s="135" t="s">
        <v>170</v>
      </c>
      <c r="L43" s="135" t="s">
        <v>170</v>
      </c>
      <c r="M43" s="135" t="s">
        <v>170</v>
      </c>
      <c r="N43" s="135" t="s">
        <v>170</v>
      </c>
      <c r="O43" s="135" t="s">
        <v>440</v>
      </c>
      <c r="P43" s="135" t="s">
        <v>170</v>
      </c>
      <c r="Q43" s="135" t="s">
        <v>170</v>
      </c>
      <c r="R43" s="135" t="s">
        <v>170</v>
      </c>
      <c r="S43" s="135" t="s">
        <v>440</v>
      </c>
      <c r="T43" s="135" t="s">
        <v>170</v>
      </c>
      <c r="U43" s="135" t="s">
        <v>170</v>
      </c>
      <c r="V43" s="135" t="s">
        <v>170</v>
      </c>
      <c r="W43" s="135" t="s">
        <v>170</v>
      </c>
      <c r="X43" s="140"/>
      <c r="Y43" s="135" t="str">
        <f>Y34</f>
        <v>not audited</v>
      </c>
      <c r="Z43" s="135" t="str">
        <f t="shared" ref="Z43:AH43" si="67">Z34</f>
        <v>not audited</v>
      </c>
      <c r="AA43" s="135" t="str">
        <f t="shared" si="67"/>
        <v>not audited</v>
      </c>
      <c r="AB43" s="135" t="str">
        <f t="shared" si="67"/>
        <v>not audited</v>
      </c>
      <c r="AC43" s="135" t="str">
        <f t="shared" si="67"/>
        <v>not audited</v>
      </c>
      <c r="AD43" s="135" t="str">
        <f t="shared" si="67"/>
        <v>not audited</v>
      </c>
      <c r="AE43" s="135" t="str">
        <f t="shared" si="67"/>
        <v>not audited</v>
      </c>
      <c r="AF43" s="135" t="str">
        <f t="shared" si="67"/>
        <v>not audited</v>
      </c>
      <c r="AG43" s="135" t="str">
        <f t="shared" si="67"/>
        <v>not audited</v>
      </c>
      <c r="AH43" s="135" t="str">
        <f t="shared" si="67"/>
        <v>not audited</v>
      </c>
      <c r="AI43" s="135" t="str">
        <f t="shared" ref="AI43" si="68">AI34</f>
        <v>not audited</v>
      </c>
      <c r="AJ43" s="101" t="str">
        <f t="shared" ref="AJ43" si="69">AI43</f>
        <v>not audited</v>
      </c>
      <c r="AK43" s="101" t="str">
        <f t="shared" ref="AK43" si="70">AJ43</f>
        <v>not audited</v>
      </c>
      <c r="AL43" s="101" t="str">
        <f t="shared" ref="AL43" si="71">AK43</f>
        <v>not audited</v>
      </c>
      <c r="AM43" s="101" t="str">
        <f t="shared" ref="AM43" si="72">AL43</f>
        <v>not audited</v>
      </c>
      <c r="AN43" s="101" t="s">
        <v>441</v>
      </c>
      <c r="AO43" s="101" t="s">
        <v>316</v>
      </c>
      <c r="AP43" s="101" t="s">
        <v>316</v>
      </c>
      <c r="AQ43" s="101" t="s">
        <v>316</v>
      </c>
      <c r="AR43" s="101" t="s">
        <v>316</v>
      </c>
    </row>
    <row r="44" spans="1:44" ht="15" outlineLevel="1" thickBot="1" x14ac:dyDescent="0.35">
      <c r="B44" s="98" t="s">
        <v>44</v>
      </c>
      <c r="C44" s="98" t="s">
        <v>45</v>
      </c>
      <c r="D44" s="117">
        <v>4489.1524970000009</v>
      </c>
      <c r="E44" s="126">
        <v>4668.9346690000002</v>
      </c>
      <c r="F44" s="117">
        <v>4778.0686959999994</v>
      </c>
      <c r="G44" s="126">
        <v>5119.4954319999997</v>
      </c>
      <c r="H44" s="117">
        <v>5160.3390290000007</v>
      </c>
      <c r="I44" s="126">
        <v>5104.4388430000008</v>
      </c>
      <c r="J44" s="117">
        <v>5491.4350970000005</v>
      </c>
      <c r="K44" s="126">
        <v>5144.733087999999</v>
      </c>
      <c r="L44" s="117">
        <v>6396.3026549999995</v>
      </c>
      <c r="M44" s="126">
        <v>6310.1572749999987</v>
      </c>
      <c r="N44" s="117">
        <v>6189</v>
      </c>
      <c r="O44" s="126">
        <v>5770</v>
      </c>
      <c r="P44" s="117">
        <v>6301</v>
      </c>
      <c r="Q44" s="126">
        <v>7587</v>
      </c>
      <c r="R44" s="117">
        <v>8690</v>
      </c>
      <c r="S44" s="126">
        <f>+'éves P&amp;L_mérleg'!K33</f>
        <v>8547.6569999999992</v>
      </c>
      <c r="T44" s="117">
        <v>9971.4320000000007</v>
      </c>
      <c r="U44" s="126">
        <f>+'féléves P&amp;L_mérleg'!H84</f>
        <v>14037</v>
      </c>
      <c r="V44" s="126">
        <v>23862.531999999999</v>
      </c>
      <c r="W44" s="126">
        <v>19009.337</v>
      </c>
      <c r="X44" s="141"/>
      <c r="Y44" s="114">
        <f t="shared" ref="Y44:AH44" si="73">D44/Y$41*1000</f>
        <v>14542.120171687726</v>
      </c>
      <c r="Z44" s="123">
        <f t="shared" si="73"/>
        <v>15116.180493411468</v>
      </c>
      <c r="AA44" s="114">
        <f t="shared" si="73"/>
        <v>15352.211213571953</v>
      </c>
      <c r="AB44" s="123">
        <f t="shared" si="73"/>
        <v>16460.341560028293</v>
      </c>
      <c r="AC44" s="114">
        <f t="shared" si="73"/>
        <v>16510.4432218845</v>
      </c>
      <c r="AD44" s="123">
        <f t="shared" si="73"/>
        <v>15533.8978788801</v>
      </c>
      <c r="AE44" s="114">
        <f t="shared" si="73"/>
        <v>16960.390070418191</v>
      </c>
      <c r="AF44" s="123">
        <f t="shared" si="73"/>
        <v>16588.42164183917</v>
      </c>
      <c r="AG44" s="114">
        <f t="shared" si="73"/>
        <v>19939.220845412885</v>
      </c>
      <c r="AH44" s="123">
        <f t="shared" si="73"/>
        <v>19503.484190517393</v>
      </c>
      <c r="AI44" s="114">
        <f t="shared" ref="AI44:AJ48" si="74">N44/$AI$41*1000</f>
        <v>18493.948901837743</v>
      </c>
      <c r="AJ44" s="123">
        <f t="shared" si="74"/>
        <v>17241.894516659198</v>
      </c>
      <c r="AK44" s="114">
        <f t="shared" ref="AK44:AL49" si="75">P44/$AM$32*1000</f>
        <v>17279.583161936102</v>
      </c>
      <c r="AL44" s="123">
        <f t="shared" si="75"/>
        <v>20806.252570958455</v>
      </c>
      <c r="AM44" s="114">
        <f t="shared" ref="AM44:AR49" si="76">R44/AM$32*1000</f>
        <v>23831.070889894421</v>
      </c>
      <c r="AN44" s="114">
        <f t="shared" si="76"/>
        <v>23409.900583353872</v>
      </c>
      <c r="AO44" s="114">
        <f t="shared" si="76"/>
        <v>27414.378797459656</v>
      </c>
      <c r="AP44" s="114">
        <f t="shared" si="76"/>
        <v>39889.173060528563</v>
      </c>
      <c r="AQ44" s="114">
        <f t="shared" si="76"/>
        <v>66189.204482414294</v>
      </c>
      <c r="AR44" s="114">
        <f t="shared" si="76"/>
        <v>51515.818428184284</v>
      </c>
    </row>
    <row r="45" spans="1:44" ht="15" outlineLevel="2" thickBot="1" x14ac:dyDescent="0.35">
      <c r="B45" s="204" t="s">
        <v>62</v>
      </c>
      <c r="C45" s="204" t="s">
        <v>63</v>
      </c>
      <c r="D45" s="205">
        <v>6591.7173349999994</v>
      </c>
      <c r="E45" s="206">
        <v>6230.6875429999991</v>
      </c>
      <c r="F45" s="205">
        <v>6572.5368279999984</v>
      </c>
      <c r="G45" s="206">
        <v>6254.7884560000002</v>
      </c>
      <c r="H45" s="205">
        <v>7138.188905</v>
      </c>
      <c r="I45" s="206">
        <v>6529.8529439999993</v>
      </c>
      <c r="J45" s="205">
        <v>8263.0708180000001</v>
      </c>
      <c r="K45" s="206">
        <v>9130.4673749999984</v>
      </c>
      <c r="L45" s="205">
        <v>11483.422210999999</v>
      </c>
      <c r="M45" s="206">
        <v>19876.075740000004</v>
      </c>
      <c r="N45" s="205">
        <v>17492</v>
      </c>
      <c r="O45" s="206">
        <v>21440</v>
      </c>
      <c r="P45" s="205">
        <v>22083</v>
      </c>
      <c r="Q45" s="206">
        <v>22014</v>
      </c>
      <c r="R45" s="205">
        <v>21982</v>
      </c>
      <c r="S45" s="206">
        <f>+'éves P&amp;L_mérleg'!K45</f>
        <v>27905.832999999999</v>
      </c>
      <c r="T45" s="205">
        <v>27134.091</v>
      </c>
      <c r="U45" s="206">
        <f>+'féléves P&amp;L_mérleg'!H96</f>
        <v>24533</v>
      </c>
      <c r="V45" s="206">
        <v>25146.434000000001</v>
      </c>
      <c r="W45" s="206">
        <v>24490.928</v>
      </c>
      <c r="X45" s="141"/>
      <c r="Y45" s="117">
        <f t="shared" ref="Y45:Y49" si="77">D45/Y$41*1000</f>
        <v>21353.149773242629</v>
      </c>
      <c r="Z45" s="126">
        <f t="shared" ref="Z45:AH45" si="78">E45/Z$41*1000</f>
        <v>20172.524178456952</v>
      </c>
      <c r="AA45" s="117">
        <f t="shared" si="78"/>
        <v>21117.941162484327</v>
      </c>
      <c r="AB45" s="126">
        <f t="shared" si="78"/>
        <v>20110.566703105909</v>
      </c>
      <c r="AC45" s="117">
        <f t="shared" si="78"/>
        <v>22838.550327947527</v>
      </c>
      <c r="AD45" s="126">
        <f t="shared" si="78"/>
        <v>19871.737504564815</v>
      </c>
      <c r="AE45" s="117">
        <f t="shared" si="78"/>
        <v>25520.633819259994</v>
      </c>
      <c r="AF45" s="126">
        <f t="shared" si="78"/>
        <v>29439.825159605334</v>
      </c>
      <c r="AG45" s="117">
        <f t="shared" si="78"/>
        <v>35797.319776177559</v>
      </c>
      <c r="AH45" s="126">
        <f t="shared" si="78"/>
        <v>61433.132657476672</v>
      </c>
      <c r="AI45" s="117">
        <f t="shared" si="74"/>
        <v>52269.535335425076</v>
      </c>
      <c r="AJ45" s="126">
        <f t="shared" si="74"/>
        <v>64066.93560436277</v>
      </c>
      <c r="AK45" s="117">
        <f t="shared" si="75"/>
        <v>60559.440559440562</v>
      </c>
      <c r="AL45" s="126">
        <f t="shared" si="75"/>
        <v>60370.218017276849</v>
      </c>
      <c r="AM45" s="117">
        <f t="shared" si="76"/>
        <v>60282.462635403819</v>
      </c>
      <c r="AN45" s="117">
        <f t="shared" si="76"/>
        <v>76427.116369512223</v>
      </c>
      <c r="AO45" s="117">
        <f t="shared" si="76"/>
        <v>74599.540868226424</v>
      </c>
      <c r="AP45" s="117">
        <f t="shared" si="76"/>
        <v>69715.828360329644</v>
      </c>
      <c r="AQ45" s="117">
        <f t="shared" si="76"/>
        <v>69750.454898479991</v>
      </c>
      <c r="AR45" s="117">
        <f t="shared" si="76"/>
        <v>66371.07859078591</v>
      </c>
    </row>
    <row r="46" spans="1:44" s="188" customFormat="1" ht="15" outlineLevel="2" thickBot="1" x14ac:dyDescent="0.35">
      <c r="B46" s="207" t="s">
        <v>334</v>
      </c>
      <c r="C46" s="208" t="s">
        <v>335</v>
      </c>
      <c r="D46" s="209"/>
      <c r="E46" s="210"/>
      <c r="F46" s="209"/>
      <c r="G46" s="210"/>
      <c r="H46" s="209"/>
      <c r="I46" s="210"/>
      <c r="J46" s="209"/>
      <c r="K46" s="210">
        <v>8165</v>
      </c>
      <c r="L46" s="209">
        <v>10386</v>
      </c>
      <c r="M46" s="210">
        <v>18308</v>
      </c>
      <c r="N46" s="209">
        <v>15926</v>
      </c>
      <c r="O46" s="210">
        <v>19413</v>
      </c>
      <c r="P46" s="209">
        <v>19883</v>
      </c>
      <c r="Q46" s="210">
        <v>19904</v>
      </c>
      <c r="R46" s="209">
        <v>19044</v>
      </c>
      <c r="S46" s="210">
        <f>+'éves P&amp;L_mérleg'!K46+'éves P&amp;L_mérleg'!K47+'éves P&amp;L_mérleg'!K48</f>
        <v>24347.803</v>
      </c>
      <c r="T46" s="209">
        <v>24186.687999999998</v>
      </c>
      <c r="U46" s="210">
        <f>+'féléves P&amp;L_mérleg'!H97+'féléves P&amp;L_mérleg'!H98+'féléves P&amp;L_mérleg'!H99</f>
        <v>21533</v>
      </c>
      <c r="V46" s="210">
        <v>21151.717000000001</v>
      </c>
      <c r="W46" s="210">
        <v>20929.076000000001</v>
      </c>
      <c r="X46" s="191"/>
      <c r="Y46" s="118"/>
      <c r="Z46" s="127"/>
      <c r="AA46" s="118"/>
      <c r="AB46" s="127"/>
      <c r="AC46" s="118"/>
      <c r="AD46" s="127"/>
      <c r="AE46" s="118"/>
      <c r="AF46" s="127"/>
      <c r="AG46" s="118"/>
      <c r="AH46" s="127"/>
      <c r="AI46" s="118">
        <f t="shared" si="74"/>
        <v>47590.019423278056</v>
      </c>
      <c r="AJ46" s="127">
        <f t="shared" si="74"/>
        <v>58009.861048857019</v>
      </c>
      <c r="AK46" s="118">
        <f t="shared" si="75"/>
        <v>54526.258055669823</v>
      </c>
      <c r="AL46" s="127">
        <f t="shared" si="75"/>
        <v>54583.847525024001</v>
      </c>
      <c r="AM46" s="118">
        <f t="shared" si="76"/>
        <v>52225.421637186344</v>
      </c>
      <c r="AN46" s="118">
        <f t="shared" si="76"/>
        <v>66682.55963629391</v>
      </c>
      <c r="AO46" s="118">
        <f t="shared" si="76"/>
        <v>66496.269210678234</v>
      </c>
      <c r="AP46" s="118">
        <f t="shared" si="76"/>
        <v>61190.679170218813</v>
      </c>
      <c r="AQ46" s="118">
        <f t="shared" si="76"/>
        <v>58670.023854432497</v>
      </c>
      <c r="AR46" s="118">
        <f t="shared" si="76"/>
        <v>56718.363143631439</v>
      </c>
    </row>
    <row r="47" spans="1:44" ht="15.6" outlineLevel="2" thickTop="1" thickBot="1" x14ac:dyDescent="0.35">
      <c r="B47" s="204" t="s">
        <v>77</v>
      </c>
      <c r="C47" s="204" t="s">
        <v>78</v>
      </c>
      <c r="D47" s="211">
        <v>4489.968535</v>
      </c>
      <c r="E47" s="212">
        <v>3920.2216930000004</v>
      </c>
      <c r="F47" s="211">
        <v>3405.5251139999996</v>
      </c>
      <c r="G47" s="212">
        <v>5220.7135070000004</v>
      </c>
      <c r="H47" s="211">
        <v>4594.9061179999999</v>
      </c>
      <c r="I47" s="212">
        <v>4292.730325999999</v>
      </c>
      <c r="J47" s="211">
        <v>5903.6063940000004</v>
      </c>
      <c r="K47" s="212">
        <v>8583.8976410000014</v>
      </c>
      <c r="L47" s="211">
        <v>7905.8752260000001</v>
      </c>
      <c r="M47" s="212">
        <v>7025.2305310000011</v>
      </c>
      <c r="N47" s="211">
        <v>9498</v>
      </c>
      <c r="O47" s="212">
        <v>10466</v>
      </c>
      <c r="P47" s="211">
        <v>11222</v>
      </c>
      <c r="Q47" s="212">
        <v>8237</v>
      </c>
      <c r="R47" s="211">
        <v>6515</v>
      </c>
      <c r="S47" s="212">
        <f>+'éves P&amp;L_mérleg'!K54</f>
        <v>8430.7999999999993</v>
      </c>
      <c r="T47" s="211">
        <v>8127.4359999999997</v>
      </c>
      <c r="U47" s="212">
        <f>+'féléves P&amp;L_mérleg'!H105</f>
        <v>10525</v>
      </c>
      <c r="V47" s="212">
        <v>15105.099</v>
      </c>
      <c r="W47" s="212">
        <v>17260.483</v>
      </c>
      <c r="X47" s="141"/>
      <c r="Y47" s="119">
        <f t="shared" si="77"/>
        <v>14544.763637836088</v>
      </c>
      <c r="Z47" s="128">
        <f t="shared" ref="Z47:AH47" si="79">E47/Z$41*1000</f>
        <v>12692.141331304434</v>
      </c>
      <c r="AA47" s="119">
        <f t="shared" si="79"/>
        <v>10942.14925939016</v>
      </c>
      <c r="AB47" s="128">
        <f t="shared" si="79"/>
        <v>16785.780679699059</v>
      </c>
      <c r="AC47" s="119">
        <f t="shared" si="79"/>
        <v>14701.347362022074</v>
      </c>
      <c r="AD47" s="128">
        <f t="shared" si="79"/>
        <v>13063.695453438828</v>
      </c>
      <c r="AE47" s="119">
        <f t="shared" si="79"/>
        <v>18233.388084501825</v>
      </c>
      <c r="AF47" s="128">
        <f t="shared" si="79"/>
        <v>27677.492877410205</v>
      </c>
      <c r="AG47" s="119">
        <f t="shared" si="79"/>
        <v>24645.017693818387</v>
      </c>
      <c r="AH47" s="128">
        <f t="shared" si="79"/>
        <v>21713.638285837918</v>
      </c>
      <c r="AI47" s="119">
        <f t="shared" si="74"/>
        <v>28381.891528462576</v>
      </c>
      <c r="AJ47" s="128">
        <f t="shared" si="74"/>
        <v>31274.465859853583</v>
      </c>
      <c r="AK47" s="119">
        <f t="shared" si="75"/>
        <v>30774.715480597835</v>
      </c>
      <c r="AL47" s="128">
        <f t="shared" si="75"/>
        <v>22588.783765254357</v>
      </c>
      <c r="AM47" s="119">
        <f t="shared" si="76"/>
        <v>17866.447278211985</v>
      </c>
      <c r="AN47" s="119">
        <f t="shared" si="76"/>
        <v>23089.858406594911</v>
      </c>
      <c r="AO47" s="119">
        <f t="shared" si="76"/>
        <v>22344.695240975449</v>
      </c>
      <c r="AP47" s="119">
        <f t="shared" si="76"/>
        <v>29909.065075305487</v>
      </c>
      <c r="AQ47" s="119">
        <f t="shared" si="76"/>
        <v>41898.088871629872</v>
      </c>
      <c r="AR47" s="119">
        <f t="shared" si="76"/>
        <v>46776.376693766942</v>
      </c>
    </row>
    <row r="48" spans="1:44" s="188" customFormat="1" ht="15.6" outlineLevel="2" thickTop="1" thickBot="1" x14ac:dyDescent="0.35">
      <c r="B48" s="213" t="s">
        <v>334</v>
      </c>
      <c r="C48" s="214" t="s">
        <v>335</v>
      </c>
      <c r="D48" s="215"/>
      <c r="E48" s="216"/>
      <c r="F48" s="215"/>
      <c r="G48" s="216"/>
      <c r="H48" s="215"/>
      <c r="I48" s="216"/>
      <c r="J48" s="215"/>
      <c r="K48" s="216">
        <v>1597</v>
      </c>
      <c r="L48" s="215">
        <v>1578</v>
      </c>
      <c r="M48" s="216">
        <v>1775</v>
      </c>
      <c r="N48" s="215">
        <v>3853</v>
      </c>
      <c r="O48" s="216">
        <v>3011</v>
      </c>
      <c r="P48" s="215">
        <v>2656</v>
      </c>
      <c r="Q48" s="216">
        <v>2862</v>
      </c>
      <c r="R48" s="215">
        <v>436</v>
      </c>
      <c r="S48" s="216">
        <f>+'éves P&amp;L_mérleg'!K55+'éves P&amp;L_mérleg'!K56+'éves P&amp;L_mérleg'!K57</f>
        <v>1084.605</v>
      </c>
      <c r="T48" s="215">
        <v>1100.3910000000001</v>
      </c>
      <c r="U48" s="216">
        <f>+'féléves P&amp;L_mérleg'!H106+'féléves P&amp;L_mérleg'!H107+'féléves P&amp;L_mérleg'!H108</f>
        <v>3417</v>
      </c>
      <c r="V48" s="216">
        <v>4050.5189999999998</v>
      </c>
      <c r="W48" s="216">
        <v>2969.66</v>
      </c>
      <c r="X48" s="191"/>
      <c r="Y48" s="209"/>
      <c r="Z48" s="210"/>
      <c r="AA48" s="209"/>
      <c r="AB48" s="210"/>
      <c r="AC48" s="209"/>
      <c r="AD48" s="210"/>
      <c r="AE48" s="209"/>
      <c r="AF48" s="210"/>
      <c r="AG48" s="209"/>
      <c r="AH48" s="210"/>
      <c r="AI48" s="209">
        <f t="shared" si="74"/>
        <v>11513.521589720604</v>
      </c>
      <c r="AJ48" s="217">
        <f t="shared" si="74"/>
        <v>8997.4600328701636</v>
      </c>
      <c r="AK48" s="209">
        <f t="shared" si="75"/>
        <v>7283.6966954614018</v>
      </c>
      <c r="AL48" s="217">
        <f t="shared" si="75"/>
        <v>7848.6219662690255</v>
      </c>
      <c r="AM48" s="209">
        <f t="shared" si="76"/>
        <v>1195.6670780200193</v>
      </c>
      <c r="AN48" s="209">
        <f t="shared" si="76"/>
        <v>2970.4625749732973</v>
      </c>
      <c r="AO48" s="209">
        <f t="shared" si="76"/>
        <v>3025.2962362191734</v>
      </c>
      <c r="AP48" s="209">
        <f t="shared" si="76"/>
        <v>9710.144927536232</v>
      </c>
      <c r="AQ48" s="209">
        <f t="shared" si="76"/>
        <v>11235.213025629646</v>
      </c>
      <c r="AR48" s="209">
        <f t="shared" si="76"/>
        <v>8047.8590785907863</v>
      </c>
    </row>
    <row r="49" spans="2:44" ht="30" outlineLevel="2" thickTop="1" thickBot="1" x14ac:dyDescent="0.35">
      <c r="B49" s="99" t="s">
        <v>91</v>
      </c>
      <c r="C49" s="99" t="s">
        <v>92</v>
      </c>
      <c r="D49" s="119">
        <f t="shared" ref="D49:M49" si="80">D47+D45+D44</f>
        <v>15570.838367</v>
      </c>
      <c r="E49" s="128">
        <f t="shared" si="80"/>
        <v>14819.843905</v>
      </c>
      <c r="F49" s="119">
        <f t="shared" si="80"/>
        <v>14756.130637999999</v>
      </c>
      <c r="G49" s="128">
        <f t="shared" si="80"/>
        <v>16594.997394999999</v>
      </c>
      <c r="H49" s="119">
        <f t="shared" si="80"/>
        <v>16893.434052000001</v>
      </c>
      <c r="I49" s="128">
        <f t="shared" si="80"/>
        <v>15927.022112999999</v>
      </c>
      <c r="J49" s="119">
        <f t="shared" si="80"/>
        <v>19658.112309</v>
      </c>
      <c r="K49" s="128">
        <f t="shared" si="80"/>
        <v>22859.098103999997</v>
      </c>
      <c r="L49" s="119">
        <f t="shared" si="80"/>
        <v>25785.600092000001</v>
      </c>
      <c r="M49" s="128">
        <f t="shared" si="80"/>
        <v>33211.463546000006</v>
      </c>
      <c r="N49" s="119">
        <v>33179</v>
      </c>
      <c r="O49" s="128">
        <v>37676</v>
      </c>
      <c r="P49" s="119">
        <v>39606</v>
      </c>
      <c r="Q49" s="128">
        <v>37838</v>
      </c>
      <c r="R49" s="119">
        <v>37187</v>
      </c>
      <c r="S49" s="128">
        <f>+'éves P&amp;L_mérleg'!K64</f>
        <v>44884.29</v>
      </c>
      <c r="T49" s="119">
        <f>+T38</f>
        <v>45233</v>
      </c>
      <c r="U49" s="128">
        <f>+'féléves P&amp;L_mérleg'!H115</f>
        <v>49095</v>
      </c>
      <c r="V49" s="128">
        <v>64114.065000000002</v>
      </c>
      <c r="W49" s="128">
        <v>60760.748</v>
      </c>
      <c r="X49" s="141"/>
      <c r="Y49" s="276">
        <f t="shared" si="77"/>
        <v>50440.033582766438</v>
      </c>
      <c r="Z49" s="277">
        <f t="shared" ref="Z49:AH49" si="81">E49/Z$41*1000</f>
        <v>47980.846003172854</v>
      </c>
      <c r="AA49" s="276">
        <f t="shared" si="81"/>
        <v>47412.301635446449</v>
      </c>
      <c r="AB49" s="277">
        <f t="shared" si="81"/>
        <v>53356.688942833258</v>
      </c>
      <c r="AC49" s="276">
        <f t="shared" si="81"/>
        <v>54050.340911854102</v>
      </c>
      <c r="AD49" s="277">
        <f t="shared" si="81"/>
        <v>48469.330836883739</v>
      </c>
      <c r="AE49" s="276">
        <f t="shared" si="81"/>
        <v>60714.411974180002</v>
      </c>
      <c r="AF49" s="277">
        <f t="shared" si="81"/>
        <v>73705.739678854705</v>
      </c>
      <c r="AG49" s="276">
        <f t="shared" si="81"/>
        <v>80381.558315408824</v>
      </c>
      <c r="AH49" s="277">
        <f t="shared" si="81"/>
        <v>102650.25513383199</v>
      </c>
      <c r="AI49" s="276">
        <f>+AI47+AI45+AI44</f>
        <v>99145.375765725388</v>
      </c>
      <c r="AJ49" s="128">
        <f>+AJ47+AJ45+AJ44</f>
        <v>112583.29598087555</v>
      </c>
      <c r="AK49" s="276">
        <f t="shared" si="75"/>
        <v>108613.7392019745</v>
      </c>
      <c r="AL49" s="128">
        <f t="shared" si="75"/>
        <v>103765.25435348965</v>
      </c>
      <c r="AM49" s="276">
        <f t="shared" si="76"/>
        <v>101979.98080351022</v>
      </c>
      <c r="AN49" s="276">
        <f t="shared" si="76"/>
        <v>122926.87535946102</v>
      </c>
      <c r="AO49" s="276">
        <f t="shared" si="76"/>
        <v>124358.72762763588</v>
      </c>
      <c r="AP49" s="276">
        <f t="shared" si="76"/>
        <v>139514.06649616366</v>
      </c>
      <c r="AQ49" s="276">
        <f t="shared" si="76"/>
        <v>177837.74825252415</v>
      </c>
      <c r="AR49" s="276">
        <f t="shared" si="76"/>
        <v>164663.27371273714</v>
      </c>
    </row>
    <row r="50" spans="2:44" s="90" customFormat="1" ht="15" outlineLevel="1" thickTop="1" x14ac:dyDescent="0.3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106"/>
      <c r="AA50" s="106"/>
      <c r="AB50"/>
      <c r="AC50"/>
      <c r="AD50"/>
      <c r="AE50"/>
      <c r="AF50"/>
      <c r="AG50"/>
      <c r="AH50"/>
      <c r="AI50" s="203"/>
      <c r="AJ50"/>
    </row>
    <row r="51" spans="2:44" outlineLevel="1" x14ac:dyDescent="0.3"/>
  </sheetData>
  <mergeCells count="2">
    <mergeCell ref="Y40:Z40"/>
    <mergeCell ref="Y1:AM1"/>
  </mergeCells>
  <phoneticPr fontId="3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3099-6104-405C-9264-BF3D4A3D49FE}">
  <dimension ref="B2:M25"/>
  <sheetViews>
    <sheetView workbookViewId="0">
      <selection activeCell="D12" sqref="A12:D12"/>
    </sheetView>
  </sheetViews>
  <sheetFormatPr defaultColWidth="8.77734375" defaultRowHeight="14.4" x14ac:dyDescent="0.3"/>
  <cols>
    <col min="2" max="3" width="37.44140625" customWidth="1"/>
    <col min="4" max="4" width="17.33203125" customWidth="1"/>
    <col min="5" max="5" width="11.44140625" customWidth="1"/>
    <col min="6" max="7" width="11.33203125" customWidth="1"/>
    <col min="8" max="8" width="10.6640625" customWidth="1"/>
    <col min="10" max="10" width="33.44140625" customWidth="1"/>
  </cols>
  <sheetData>
    <row r="2" spans="2:12" ht="15" thickBot="1" x14ac:dyDescent="0.35"/>
    <row r="3" spans="2:12" x14ac:dyDescent="0.3">
      <c r="D3" s="62">
        <v>43830</v>
      </c>
      <c r="E3" s="63">
        <v>43465</v>
      </c>
      <c r="F3" s="62">
        <v>43100</v>
      </c>
      <c r="G3" s="63">
        <v>42735</v>
      </c>
      <c r="H3" s="64" t="s">
        <v>261</v>
      </c>
    </row>
    <row r="4" spans="2:12" ht="27.6" x14ac:dyDescent="0.3">
      <c r="B4" s="65" t="s">
        <v>271</v>
      </c>
      <c r="C4" s="65"/>
      <c r="D4" s="67" t="s">
        <v>262</v>
      </c>
      <c r="E4" s="67" t="s">
        <v>262</v>
      </c>
      <c r="F4" s="66" t="s">
        <v>262</v>
      </c>
      <c r="G4" s="67" t="s">
        <v>262</v>
      </c>
      <c r="H4" s="68" t="s">
        <v>285</v>
      </c>
    </row>
    <row r="5" spans="2:12" ht="27.6" x14ac:dyDescent="0.3">
      <c r="B5" s="69" t="s">
        <v>263</v>
      </c>
      <c r="C5" s="73" t="s">
        <v>274</v>
      </c>
      <c r="D5" s="73"/>
      <c r="E5" s="71">
        <v>10230.591</v>
      </c>
      <c r="F5" s="70">
        <f>+[1]Árbev_EBITDA_szegmens!I4</f>
        <v>9557.5337209999998</v>
      </c>
      <c r="G5" s="71">
        <f>+[1]Árbev_EBITDA_szegmens!J4</f>
        <v>8291.0161179999996</v>
      </c>
      <c r="H5" s="72">
        <f>E5/F5-1</f>
        <v>7.0421648371602918E-2</v>
      </c>
      <c r="K5" s="73"/>
      <c r="L5" s="81"/>
    </row>
    <row r="6" spans="2:12" ht="27.6" x14ac:dyDescent="0.3">
      <c r="B6" s="73" t="s">
        <v>264</v>
      </c>
      <c r="C6" s="73" t="s">
        <v>275</v>
      </c>
      <c r="D6" s="73"/>
      <c r="E6" s="43">
        <v>626.95699999999999</v>
      </c>
      <c r="F6" s="74">
        <f>+[1]Árbev_EBITDA_szegmens!I14</f>
        <v>837.77375500000005</v>
      </c>
      <c r="G6" s="43">
        <f>+[1]Árbev_EBITDA_szegmens!J14</f>
        <v>1015.4943420000001</v>
      </c>
      <c r="H6" s="75">
        <f t="shared" ref="H6:H25" si="0">E6/F6-1</f>
        <v>-0.25163924477438426</v>
      </c>
      <c r="K6" s="73"/>
      <c r="L6" s="81"/>
    </row>
    <row r="7" spans="2:12" x14ac:dyDescent="0.3">
      <c r="B7" s="73" t="s">
        <v>265</v>
      </c>
      <c r="C7" s="73" t="s">
        <v>276</v>
      </c>
      <c r="D7" s="73"/>
      <c r="E7" s="43">
        <v>7581.6869999999999</v>
      </c>
      <c r="F7" s="74">
        <f>+[1]Árbev_EBITDA_szegmens!I23</f>
        <v>6216.3799730000001</v>
      </c>
      <c r="G7" s="43">
        <f>+[1]Árbev_EBITDA_szegmens!J23</f>
        <v>3897.1971610000001</v>
      </c>
      <c r="H7" s="75">
        <f t="shared" si="0"/>
        <v>0.21963056198784914</v>
      </c>
      <c r="K7" s="73"/>
      <c r="L7" s="81"/>
    </row>
    <row r="8" spans="2:12" x14ac:dyDescent="0.3">
      <c r="B8" s="73" t="s">
        <v>266</v>
      </c>
      <c r="C8" s="73" t="s">
        <v>277</v>
      </c>
      <c r="D8" s="73"/>
      <c r="E8" s="43">
        <v>6943.4889999999996</v>
      </c>
      <c r="F8" s="74">
        <f>+[1]Árbev_EBITDA_szegmens!I33</f>
        <v>5120.8255200000003</v>
      </c>
      <c r="G8" s="43">
        <f>+[1]Árbev_EBITDA_szegmens!J33</f>
        <v>3091.856252</v>
      </c>
      <c r="H8" s="75">
        <f t="shared" si="0"/>
        <v>0.35593157253285979</v>
      </c>
      <c r="K8" s="73"/>
      <c r="L8" s="81"/>
    </row>
    <row r="9" spans="2:12" x14ac:dyDescent="0.3">
      <c r="B9" s="73" t="s">
        <v>267</v>
      </c>
      <c r="C9" s="73" t="s">
        <v>278</v>
      </c>
      <c r="D9" s="73"/>
      <c r="E9" s="43">
        <v>346.96300000000002</v>
      </c>
      <c r="F9" s="74">
        <v>346</v>
      </c>
      <c r="G9" s="43">
        <f>+[1]Árbev_EBITDA_szegmens!K43</f>
        <v>729.72434799999996</v>
      </c>
      <c r="H9" s="75">
        <f t="shared" si="0"/>
        <v>2.7832369942197843E-3</v>
      </c>
      <c r="K9" s="73"/>
      <c r="L9" s="81"/>
    </row>
    <row r="10" spans="2:12" ht="15" thickBot="1" x14ac:dyDescent="0.35">
      <c r="B10" s="73" t="s">
        <v>268</v>
      </c>
      <c r="C10" s="73"/>
      <c r="D10" s="73"/>
      <c r="E10" s="43">
        <f>+'éves P&amp;L_mérleg'!I71-SUM(szegmensek!E5:E9)</f>
        <v>-7043.9200000000019</v>
      </c>
      <c r="F10" s="74">
        <f>-3670-20</f>
        <v>-3690</v>
      </c>
      <c r="G10" s="43">
        <f>+([2]KÁT!$C$35+[2]Egyéb!$C$35+[2]Enkisker!$C$35+[2]Eterm!$C$35+[2]Enszolg!$C$35)/1000</f>
        <v>-3077.0695139999998</v>
      </c>
      <c r="H10" s="75">
        <f t="shared" si="0"/>
        <v>0.9089214092140927</v>
      </c>
    </row>
    <row r="11" spans="2:12" ht="15" thickBot="1" x14ac:dyDescent="0.35">
      <c r="B11" s="76" t="s">
        <v>269</v>
      </c>
      <c r="C11" s="76"/>
      <c r="D11" s="76"/>
      <c r="E11" s="78">
        <f>+SUM(E5:E10)</f>
        <v>18685.767</v>
      </c>
      <c r="F11" s="77">
        <f>+SUM(F5:F10)</f>
        <v>18388.512969000003</v>
      </c>
      <c r="G11" s="78">
        <f>+SUM(G5:G10)</f>
        <v>13948.218707</v>
      </c>
      <c r="H11" s="79">
        <f t="shared" ref="H11" si="1">F11/G11-1</f>
        <v>0.31834131334430649</v>
      </c>
    </row>
    <row r="12" spans="2:12" ht="27.6" x14ac:dyDescent="0.3">
      <c r="B12" s="73" t="s">
        <v>263</v>
      </c>
      <c r="C12" s="73"/>
      <c r="D12" s="73"/>
      <c r="E12" s="43">
        <f>-8697-30-426</f>
        <v>-9153</v>
      </c>
      <c r="F12" s="74">
        <f>-8660-1+217</f>
        <v>-8444</v>
      </c>
      <c r="G12" s="43">
        <f>+[1]Árbev_EBITDA_szegmens!J5+[1]Árbev_EBITDA_szegmens!J6+[1]Árbev_EBITDA_szegmens!J7+[1]Árbev_EBITDA_szegmens!J8</f>
        <v>-6694.334866000002</v>
      </c>
      <c r="H12" s="75">
        <f t="shared" si="0"/>
        <v>8.3964945523448575E-2</v>
      </c>
    </row>
    <row r="13" spans="2:12" ht="27.6" x14ac:dyDescent="0.3">
      <c r="B13" s="73" t="s">
        <v>264</v>
      </c>
      <c r="C13" s="73"/>
      <c r="D13" s="73"/>
      <c r="E13" s="43">
        <f>-164-73+43</f>
        <v>-194</v>
      </c>
      <c r="F13" s="74">
        <f>-221-97+38</f>
        <v>-280</v>
      </c>
      <c r="G13" s="43">
        <f>+[1]Árbev_EBITDA_szegmens!J15+[1]Árbev_EBITDA_szegmens!J16+[1]Árbev_EBITDA_szegmens!J17</f>
        <v>-302.82872500000002</v>
      </c>
      <c r="H13" s="75">
        <f t="shared" si="0"/>
        <v>-0.30714285714285716</v>
      </c>
    </row>
    <row r="14" spans="2:12" x14ac:dyDescent="0.3">
      <c r="B14" s="73" t="s">
        <v>265</v>
      </c>
      <c r="C14" s="73"/>
      <c r="D14" s="73"/>
      <c r="E14" s="43">
        <f>-4927-1611+213</f>
        <v>-6325</v>
      </c>
      <c r="F14" s="74">
        <f>-3759-1345+55</f>
        <v>-5049</v>
      </c>
      <c r="G14" s="43">
        <f>+[1]Árbev_EBITDA_szegmens!J24+[1]Árbev_EBITDA_szegmens!J25+[1]Árbev_EBITDA_szegmens!J26+[1]Árbev_EBITDA_szegmens!J27</f>
        <v>-3133.6149570000002</v>
      </c>
      <c r="H14" s="75">
        <f t="shared" si="0"/>
        <v>0.25272331154684102</v>
      </c>
    </row>
    <row r="15" spans="2:12" x14ac:dyDescent="0.3">
      <c r="B15" s="73" t="s">
        <v>266</v>
      </c>
      <c r="C15" s="73"/>
      <c r="D15" s="73"/>
      <c r="E15" s="43">
        <f>-6626-53+18</f>
        <v>-6661</v>
      </c>
      <c r="F15" s="74">
        <f>-5217-47+2</f>
        <v>-5262</v>
      </c>
      <c r="G15" s="43">
        <f>+[1]Árbev_EBITDA_szegmens!J34+[1]Árbev_EBITDA_szegmens!J35+[1]Árbev_EBITDA_szegmens!J36+[1]Árbev_EBITDA_szegmens!J37</f>
        <v>-2966.2490310000003</v>
      </c>
      <c r="H15" s="75">
        <f t="shared" si="0"/>
        <v>0.2658684910680349</v>
      </c>
    </row>
    <row r="16" spans="2:12" x14ac:dyDescent="0.3">
      <c r="B16" s="73" t="s">
        <v>267</v>
      </c>
      <c r="C16" s="73"/>
      <c r="D16" s="73"/>
      <c r="E16" s="43">
        <f>-545-800-10</f>
        <v>-1355</v>
      </c>
      <c r="F16" s="74">
        <f>-407-681+9</f>
        <v>-1079</v>
      </c>
      <c r="G16" s="43">
        <f>+[1]Árbev_EBITDA_szegmens!K44+[1]Árbev_EBITDA_szegmens!K45+[1]Árbev_EBITDA_szegmens!K46</f>
        <v>-1614.6495629999999</v>
      </c>
      <c r="H16" s="75">
        <f t="shared" si="0"/>
        <v>0.25579240037071371</v>
      </c>
    </row>
    <row r="17" spans="2:13" ht="15" thickBot="1" x14ac:dyDescent="0.35">
      <c r="B17" s="73" t="s">
        <v>268</v>
      </c>
      <c r="C17" s="73"/>
      <c r="D17" s="73"/>
      <c r="E17" s="43">
        <f>-E10-241</f>
        <v>6802.9200000000019</v>
      </c>
      <c r="F17" s="74">
        <f>-F10-13</f>
        <v>3677</v>
      </c>
      <c r="G17" s="43">
        <f>+SUM([2]Sheet1!$R$37:$X$37)/1000-G10</f>
        <v>3077.0445830000003</v>
      </c>
      <c r="H17" s="75">
        <f t="shared" si="0"/>
        <v>0.85012782159369094</v>
      </c>
    </row>
    <row r="18" spans="2:13" ht="15" thickBot="1" x14ac:dyDescent="0.35">
      <c r="B18" s="76" t="s">
        <v>270</v>
      </c>
      <c r="C18" s="76"/>
      <c r="D18" s="76"/>
      <c r="E18" s="78">
        <f>+SUM(E12:E17)</f>
        <v>-16885.079999999998</v>
      </c>
      <c r="F18" s="77">
        <f>+SUM(F12:F17)</f>
        <v>-16437</v>
      </c>
      <c r="G18" s="78">
        <f>+SUM(G12:G17)</f>
        <v>-11634.632559</v>
      </c>
      <c r="H18" s="79">
        <f t="shared" si="0"/>
        <v>2.7260448987041386E-2</v>
      </c>
    </row>
    <row r="19" spans="2:13" ht="27.6" x14ac:dyDescent="0.3">
      <c r="B19" s="73" t="s">
        <v>263</v>
      </c>
      <c r="C19" s="73" t="s">
        <v>274</v>
      </c>
      <c r="D19" s="73"/>
      <c r="E19" s="43">
        <f t="shared" ref="E19:G24" si="2">+E5+E12</f>
        <v>1077.5910000000003</v>
      </c>
      <c r="F19" s="74">
        <f>+F5+F12</f>
        <v>1113.5337209999998</v>
      </c>
      <c r="G19" s="43">
        <f t="shared" si="2"/>
        <v>1596.6812519999976</v>
      </c>
      <c r="H19" s="75">
        <f t="shared" si="0"/>
        <v>-3.2278071442435885E-2</v>
      </c>
      <c r="L19" s="43"/>
      <c r="M19" s="81"/>
    </row>
    <row r="20" spans="2:13" ht="27.6" x14ac:dyDescent="0.3">
      <c r="B20" s="73" t="s">
        <v>264</v>
      </c>
      <c r="C20" s="73" t="s">
        <v>275</v>
      </c>
      <c r="D20" s="73"/>
      <c r="E20" s="43">
        <f t="shared" si="2"/>
        <v>432.95699999999999</v>
      </c>
      <c r="F20" s="74">
        <f t="shared" ref="F20:F24" si="3">+F6+F13</f>
        <v>557.77375500000005</v>
      </c>
      <c r="G20" s="43">
        <f t="shared" si="2"/>
        <v>712.66561700000011</v>
      </c>
      <c r="H20" s="75">
        <f t="shared" si="0"/>
        <v>-0.22377667267618218</v>
      </c>
      <c r="L20" s="43"/>
      <c r="M20" s="81"/>
    </row>
    <row r="21" spans="2:13" x14ac:dyDescent="0.3">
      <c r="B21" s="73" t="s">
        <v>265</v>
      </c>
      <c r="C21" s="73" t="s">
        <v>276</v>
      </c>
      <c r="D21" s="73"/>
      <c r="E21" s="43">
        <f t="shared" si="2"/>
        <v>1256.6869999999999</v>
      </c>
      <c r="F21" s="74">
        <f t="shared" si="3"/>
        <v>1167.3799730000001</v>
      </c>
      <c r="G21" s="43">
        <f t="shared" si="2"/>
        <v>763.58220399999982</v>
      </c>
      <c r="H21" s="75">
        <f t="shared" si="0"/>
        <v>7.6502106482513543E-2</v>
      </c>
      <c r="L21" s="43"/>
      <c r="M21" s="81"/>
    </row>
    <row r="22" spans="2:13" x14ac:dyDescent="0.3">
      <c r="B22" s="73" t="s">
        <v>266</v>
      </c>
      <c r="C22" s="73" t="s">
        <v>277</v>
      </c>
      <c r="D22" s="73"/>
      <c r="E22" s="43">
        <f t="shared" si="2"/>
        <v>282.48899999999958</v>
      </c>
      <c r="F22" s="74">
        <f t="shared" si="3"/>
        <v>-141.17447999999968</v>
      </c>
      <c r="G22" s="43">
        <f t="shared" si="2"/>
        <v>125.60722099999975</v>
      </c>
      <c r="H22" s="75">
        <f t="shared" si="0"/>
        <v>-3.000991963986694</v>
      </c>
      <c r="L22" s="43"/>
      <c r="M22" s="81"/>
    </row>
    <row r="23" spans="2:13" x14ac:dyDescent="0.3">
      <c r="B23" s="73" t="s">
        <v>267</v>
      </c>
      <c r="C23" s="73" t="s">
        <v>278</v>
      </c>
      <c r="D23" s="73"/>
      <c r="E23" s="43">
        <f t="shared" si="2"/>
        <v>-1008.037</v>
      </c>
      <c r="F23" s="74">
        <f t="shared" si="3"/>
        <v>-733</v>
      </c>
      <c r="G23" s="43">
        <f t="shared" si="2"/>
        <v>-884.92521499999998</v>
      </c>
      <c r="H23" s="75">
        <f t="shared" si="0"/>
        <v>0.37522100954979543</v>
      </c>
      <c r="L23" s="43"/>
      <c r="M23" s="81"/>
    </row>
    <row r="24" spans="2:13" ht="15" thickBot="1" x14ac:dyDescent="0.35">
      <c r="B24" s="73" t="s">
        <v>268</v>
      </c>
      <c r="C24" s="73"/>
      <c r="D24" s="73"/>
      <c r="E24" s="43">
        <f t="shared" si="2"/>
        <v>-241</v>
      </c>
      <c r="F24" s="74">
        <f t="shared" si="3"/>
        <v>-13</v>
      </c>
      <c r="G24" s="43">
        <f t="shared" si="2"/>
        <v>-2.493099999946935E-2</v>
      </c>
      <c r="H24" s="75"/>
      <c r="L24" s="43"/>
      <c r="M24" s="81"/>
    </row>
    <row r="25" spans="2:13" ht="15" thickBot="1" x14ac:dyDescent="0.35">
      <c r="B25" s="76" t="s">
        <v>139</v>
      </c>
      <c r="C25" s="76"/>
      <c r="D25" s="76"/>
      <c r="E25" s="78">
        <f>+SUM(E19:E24)</f>
        <v>1800.6869999999997</v>
      </c>
      <c r="F25" s="77">
        <f>+SUM(F19:F24)</f>
        <v>1951.5129690000003</v>
      </c>
      <c r="G25" s="78">
        <f>+SUM(G19:G24)</f>
        <v>2313.586147999998</v>
      </c>
      <c r="H25" s="79">
        <f t="shared" si="0"/>
        <v>-7.7286685456816273E-2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D178-045D-4C96-B691-6F850929037D}">
  <dimension ref="B1:M170"/>
  <sheetViews>
    <sheetView zoomScale="80" zoomScaleNormal="80" workbookViewId="0">
      <selection activeCell="J84" sqref="J84"/>
    </sheetView>
  </sheetViews>
  <sheetFormatPr defaultColWidth="8.77734375" defaultRowHeight="14.4" outlineLevelRow="1" outlineLevelCol="1" x14ac:dyDescent="0.3"/>
  <cols>
    <col min="2" max="2" width="47.6640625" customWidth="1"/>
    <col min="3" max="3" width="25.6640625" customWidth="1" outlineLevel="1"/>
    <col min="4" max="4" width="17.33203125" customWidth="1"/>
    <col min="5" max="5" width="12.77734375" customWidth="1"/>
    <col min="6" max="6" width="14.33203125" customWidth="1"/>
    <col min="7" max="7" width="11.33203125" customWidth="1"/>
    <col min="8" max="8" width="13.44140625" customWidth="1"/>
    <col min="9" max="9" width="12.33203125" customWidth="1"/>
    <col min="10" max="10" width="14.109375" customWidth="1"/>
    <col min="11" max="11" width="13" customWidth="1"/>
    <col min="12" max="12" width="12.77734375" customWidth="1"/>
  </cols>
  <sheetData>
    <row r="1" spans="2:11" ht="15" thickBot="1" x14ac:dyDescent="0.35">
      <c r="B1" s="191"/>
      <c r="C1" s="191"/>
    </row>
    <row r="2" spans="2:11" ht="43.2" x14ac:dyDescent="0.3">
      <c r="B2" s="322" t="s">
        <v>449</v>
      </c>
      <c r="C2" s="367" t="s">
        <v>454</v>
      </c>
      <c r="D2" s="323">
        <v>2016</v>
      </c>
      <c r="E2" s="323">
        <v>2017</v>
      </c>
      <c r="F2" s="323">
        <v>2018</v>
      </c>
      <c r="G2" s="323">
        <v>2019</v>
      </c>
      <c r="H2" s="323" t="s">
        <v>317</v>
      </c>
      <c r="I2" s="323" t="s">
        <v>319</v>
      </c>
      <c r="J2" s="323" t="s">
        <v>409</v>
      </c>
      <c r="K2" s="324">
        <v>2020</v>
      </c>
    </row>
    <row r="3" spans="2:11" hidden="1" outlineLevel="1" x14ac:dyDescent="0.3">
      <c r="B3" s="325" t="s">
        <v>398</v>
      </c>
      <c r="C3" s="317" t="s">
        <v>323</v>
      </c>
      <c r="D3" s="318">
        <f>G150</f>
        <v>8291.0161179999996</v>
      </c>
      <c r="E3" s="319">
        <f>F150</f>
        <v>9557.5337209999998</v>
      </c>
      <c r="F3" s="318">
        <v>8895.7819999999992</v>
      </c>
      <c r="G3" s="319">
        <v>10305.097</v>
      </c>
      <c r="H3" s="318"/>
      <c r="I3" s="319"/>
      <c r="J3" s="318"/>
      <c r="K3" s="326"/>
    </row>
    <row r="4" spans="2:11" hidden="1" outlineLevel="1" x14ac:dyDescent="0.3">
      <c r="B4" s="325" t="s">
        <v>399</v>
      </c>
      <c r="C4" s="317"/>
      <c r="D4" s="318"/>
      <c r="E4" s="319"/>
      <c r="F4" s="318">
        <v>1334.809</v>
      </c>
      <c r="G4" s="319">
        <v>1394.211</v>
      </c>
      <c r="H4" s="318"/>
      <c r="I4" s="319"/>
      <c r="J4" s="318"/>
      <c r="K4" s="326"/>
    </row>
    <row r="5" spans="2:11" collapsed="1" x14ac:dyDescent="0.3">
      <c r="B5" s="369" t="s">
        <v>269</v>
      </c>
      <c r="C5" s="321" t="s">
        <v>459</v>
      </c>
      <c r="D5" s="370">
        <f t="shared" ref="D5:E5" si="0">+D3+D4</f>
        <v>8291.0161179999996</v>
      </c>
      <c r="E5" s="371">
        <f t="shared" si="0"/>
        <v>9557.5337209999998</v>
      </c>
      <c r="F5" s="370">
        <f>+F3+F4</f>
        <v>10230.590999999999</v>
      </c>
      <c r="G5" s="371">
        <f>+G3+G4</f>
        <v>11699.307999999999</v>
      </c>
      <c r="H5" s="370">
        <v>4264</v>
      </c>
      <c r="I5" s="371">
        <v>7529</v>
      </c>
      <c r="J5" s="370">
        <v>10144.878578</v>
      </c>
      <c r="K5" s="372">
        <v>14179.346353000001</v>
      </c>
    </row>
    <row r="6" spans="2:11" x14ac:dyDescent="0.3">
      <c r="B6" s="325" t="s">
        <v>169</v>
      </c>
      <c r="C6" s="373" t="s">
        <v>455</v>
      </c>
      <c r="D6" s="343"/>
      <c r="E6" s="344"/>
      <c r="F6" s="343">
        <v>-8697.0027009999994</v>
      </c>
      <c r="G6" s="344">
        <v>-9538.7446299999992</v>
      </c>
      <c r="H6" s="343">
        <v>-3406.4639940000002</v>
      </c>
      <c r="I6" s="344">
        <v>-5336.8611979999996</v>
      </c>
      <c r="J6" s="343">
        <v>-7165.1117979999999</v>
      </c>
      <c r="K6" s="329">
        <v>-9965.8493450000005</v>
      </c>
    </row>
    <row r="7" spans="2:11" x14ac:dyDescent="0.3">
      <c r="B7" s="325" t="s">
        <v>143</v>
      </c>
      <c r="C7" s="373" t="s">
        <v>457</v>
      </c>
      <c r="D7" s="343"/>
      <c r="E7" s="344"/>
      <c r="F7" s="343">
        <v>-29.589324000000001</v>
      </c>
      <c r="G7" s="344">
        <v>-159.22743</v>
      </c>
      <c r="H7" s="343">
        <v>-41.093249999999998</v>
      </c>
      <c r="I7" s="344">
        <v>-86.078826000000007</v>
      </c>
      <c r="J7" s="343">
        <v>-150.81429700000001</v>
      </c>
      <c r="K7" s="329">
        <v>-268.81010700000002</v>
      </c>
    </row>
    <row r="8" spans="2:11" x14ac:dyDescent="0.3">
      <c r="B8" s="325" t="s">
        <v>400</v>
      </c>
      <c r="C8" s="373" t="s">
        <v>456</v>
      </c>
      <c r="D8" s="343"/>
      <c r="E8" s="344"/>
      <c r="F8" s="343">
        <v>-426.18168900000001</v>
      </c>
      <c r="G8" s="344">
        <v>-752.26828499999999</v>
      </c>
      <c r="H8" s="343">
        <v>-526.94573000000003</v>
      </c>
      <c r="I8" s="344">
        <v>-589.75798599999996</v>
      </c>
      <c r="J8" s="343">
        <v>-679.86588200000006</v>
      </c>
      <c r="K8" s="329">
        <v>-1072.0747389999999</v>
      </c>
    </row>
    <row r="9" spans="2:11" ht="15" thickBot="1" x14ac:dyDescent="0.35">
      <c r="B9" s="327" t="s">
        <v>270</v>
      </c>
      <c r="C9" s="374" t="s">
        <v>460</v>
      </c>
      <c r="D9" s="341">
        <f>G157</f>
        <v>-6694.334866000002</v>
      </c>
      <c r="E9" s="342">
        <f>F157</f>
        <v>-8444</v>
      </c>
      <c r="F9" s="341">
        <f>E157</f>
        <v>-9153</v>
      </c>
      <c r="G9" s="342">
        <f>SUM(G6:G8)</f>
        <v>-10450.240345</v>
      </c>
      <c r="H9" s="341">
        <f t="shared" ref="H9:I9" si="1">SUM(H6:H8)</f>
        <v>-3974.502974</v>
      </c>
      <c r="I9" s="342">
        <f t="shared" si="1"/>
        <v>-6012.6980099999992</v>
      </c>
      <c r="J9" s="341">
        <f>SUM(J6:J8)</f>
        <v>-7995.7919769999999</v>
      </c>
      <c r="K9" s="328">
        <v>60.413164999999999</v>
      </c>
    </row>
    <row r="10" spans="2:11" ht="15" thickBot="1" x14ac:dyDescent="0.35">
      <c r="B10" s="330" t="s">
        <v>139</v>
      </c>
      <c r="C10" s="192" t="s">
        <v>139</v>
      </c>
      <c r="D10" s="345">
        <f>G164</f>
        <v>1596.6812519999976</v>
      </c>
      <c r="E10" s="346">
        <f>F164</f>
        <v>1113.5337209999998</v>
      </c>
      <c r="F10" s="345">
        <f>F9+F3+F4</f>
        <v>1077.5909999999992</v>
      </c>
      <c r="G10" s="346">
        <f>D164</f>
        <v>1249.0677110000006</v>
      </c>
      <c r="H10" s="345">
        <f t="shared" ref="H10:I10" si="2">+H5+H9</f>
        <v>289.49702600000001</v>
      </c>
      <c r="I10" s="346">
        <f t="shared" si="2"/>
        <v>1516.3019900000008</v>
      </c>
      <c r="J10" s="345">
        <f>+J5+J9</f>
        <v>2149.086601</v>
      </c>
      <c r="K10" s="331">
        <v>2933.0253269999994</v>
      </c>
    </row>
    <row r="11" spans="2:11" x14ac:dyDescent="0.3">
      <c r="B11" s="325"/>
      <c r="C11" s="317"/>
      <c r="D11" s="343"/>
      <c r="E11" s="344"/>
      <c r="F11" s="343"/>
      <c r="G11" s="344"/>
      <c r="H11" s="343"/>
      <c r="I11" s="344"/>
      <c r="J11" s="343"/>
      <c r="K11" s="329"/>
    </row>
    <row r="12" spans="2:11" ht="15" thickBot="1" x14ac:dyDescent="0.35">
      <c r="B12" s="338" t="s">
        <v>448</v>
      </c>
      <c r="C12" s="339"/>
      <c r="D12" s="347"/>
      <c r="E12" s="347"/>
      <c r="F12" s="347"/>
      <c r="G12" s="347"/>
      <c r="H12" s="347"/>
      <c r="I12" s="347"/>
      <c r="J12" s="347"/>
      <c r="K12" s="340"/>
    </row>
    <row r="13" spans="2:11" ht="43.2" x14ac:dyDescent="0.3">
      <c r="B13" s="322" t="s">
        <v>447</v>
      </c>
      <c r="C13" s="367" t="s">
        <v>454</v>
      </c>
      <c r="D13" s="323" t="s">
        <v>317</v>
      </c>
      <c r="E13" s="323" t="s">
        <v>319</v>
      </c>
      <c r="F13" s="323" t="s">
        <v>409</v>
      </c>
      <c r="G13" s="323" t="s">
        <v>444</v>
      </c>
      <c r="H13" s="323" t="s">
        <v>467</v>
      </c>
      <c r="I13" s="323" t="s">
        <v>468</v>
      </c>
      <c r="J13" s="323">
        <v>2021</v>
      </c>
      <c r="K13" s="362"/>
    </row>
    <row r="14" spans="2:11" x14ac:dyDescent="0.3">
      <c r="B14" s="332" t="s">
        <v>269</v>
      </c>
      <c r="C14" s="321" t="s">
        <v>459</v>
      </c>
      <c r="D14" s="359">
        <v>4255.1733100000001</v>
      </c>
      <c r="E14" s="360">
        <v>7511.3717770000003</v>
      </c>
      <c r="F14" s="398">
        <v>10118.562577999999</v>
      </c>
      <c r="G14" s="394">
        <v>4419.3897889999998</v>
      </c>
      <c r="H14" s="398">
        <v>10294.671456</v>
      </c>
      <c r="I14" s="394">
        <v>15218.596933000001</v>
      </c>
      <c r="J14" s="398">
        <v>24284.974919</v>
      </c>
      <c r="K14" s="362"/>
    </row>
    <row r="15" spans="2:11" x14ac:dyDescent="0.3">
      <c r="B15" s="333" t="s">
        <v>438</v>
      </c>
      <c r="C15" s="373" t="s">
        <v>418</v>
      </c>
      <c r="D15" s="343">
        <v>17.608502999999999</v>
      </c>
      <c r="E15" s="344">
        <v>32.666156999999998</v>
      </c>
      <c r="F15" s="400">
        <v>66.133887999999999</v>
      </c>
      <c r="G15" s="401">
        <v>25.889605</v>
      </c>
      <c r="H15" s="400">
        <v>45.003377</v>
      </c>
      <c r="I15" s="401">
        <v>61.560088999999998</v>
      </c>
      <c r="J15" s="400">
        <v>84.732989000000003</v>
      </c>
      <c r="K15" s="362"/>
    </row>
    <row r="16" spans="2:11" x14ac:dyDescent="0.3">
      <c r="B16" s="333" t="s">
        <v>169</v>
      </c>
      <c r="C16" s="373" t="s">
        <v>455</v>
      </c>
      <c r="D16" s="343">
        <v>-3065.2282369999998</v>
      </c>
      <c r="E16" s="344">
        <v>-4697.8855009999997</v>
      </c>
      <c r="F16" s="400">
        <v>-6297.3843939999997</v>
      </c>
      <c r="G16" s="401">
        <v>-2577.525208</v>
      </c>
      <c r="H16" s="400">
        <v>-4868.7558390000004</v>
      </c>
      <c r="I16" s="401">
        <v>-6974.9305830000003</v>
      </c>
      <c r="J16" s="400">
        <v>-12802.207106</v>
      </c>
      <c r="K16" s="362"/>
    </row>
    <row r="17" spans="2:11" x14ac:dyDescent="0.3">
      <c r="B17" s="333" t="s">
        <v>143</v>
      </c>
      <c r="C17" s="373" t="s">
        <v>457</v>
      </c>
      <c r="D17" s="343">
        <v>-188.08090000000001</v>
      </c>
      <c r="E17" s="344">
        <v>-380.203868</v>
      </c>
      <c r="F17" s="400">
        <v>-591.83630600000004</v>
      </c>
      <c r="G17" s="401">
        <v>-180.146693</v>
      </c>
      <c r="H17" s="400">
        <v>-453.3895</v>
      </c>
      <c r="I17" s="401">
        <v>-638.472038</v>
      </c>
      <c r="J17" s="400">
        <v>-880.22839399999998</v>
      </c>
      <c r="K17" s="362"/>
    </row>
    <row r="18" spans="2:11" ht="15" thickBot="1" x14ac:dyDescent="0.35">
      <c r="B18" s="333" t="s">
        <v>400</v>
      </c>
      <c r="C18" s="373" t="s">
        <v>456</v>
      </c>
      <c r="D18" s="343">
        <v>-526.94573000000003</v>
      </c>
      <c r="E18" s="344">
        <v>-589.65214400000002</v>
      </c>
      <c r="F18" s="400">
        <v>-679.37316499999997</v>
      </c>
      <c r="G18" s="401">
        <v>-479.92029300000002</v>
      </c>
      <c r="H18" s="400">
        <v>-637.39113199999997</v>
      </c>
      <c r="I18" s="401">
        <v>-933.54613300000005</v>
      </c>
      <c r="J18" s="400">
        <v>-1645.710259</v>
      </c>
      <c r="K18" s="362"/>
    </row>
    <row r="19" spans="2:11" ht="15" thickTop="1" x14ac:dyDescent="0.3">
      <c r="B19" s="334" t="s">
        <v>139</v>
      </c>
      <c r="C19" s="320" t="s">
        <v>139</v>
      </c>
      <c r="D19" s="353">
        <v>492.52694600000063</v>
      </c>
      <c r="E19" s="354">
        <v>1876.296421</v>
      </c>
      <c r="F19" s="399">
        <v>2616.1026009999996</v>
      </c>
      <c r="G19" s="395">
        <v>1207.6872000000003</v>
      </c>
      <c r="H19" s="399">
        <v>4380.1383620000006</v>
      </c>
      <c r="I19" s="395">
        <v>6733.2082680000021</v>
      </c>
      <c r="J19" s="399">
        <v>9041.5621490000012</v>
      </c>
      <c r="K19" s="362"/>
    </row>
    <row r="20" spans="2:11" ht="15" thickBot="1" x14ac:dyDescent="0.35">
      <c r="B20" s="333" t="s">
        <v>445</v>
      </c>
      <c r="C20" s="368" t="s">
        <v>458</v>
      </c>
      <c r="D20" s="355">
        <v>-97.187380095950573</v>
      </c>
      <c r="E20" s="356">
        <v>-199.13047576341839</v>
      </c>
      <c r="F20" s="400">
        <v>-303.31244370565094</v>
      </c>
      <c r="G20" s="401">
        <v>-104.9351327897337</v>
      </c>
      <c r="H20" s="400">
        <v>-241.94323016319655</v>
      </c>
      <c r="I20" s="401">
        <v>-338.81189822498948</v>
      </c>
      <c r="J20" s="400">
        <v>-473.5611962866908</v>
      </c>
      <c r="K20" s="362"/>
    </row>
    <row r="21" spans="2:11" ht="15" thickTop="1" x14ac:dyDescent="0.3">
      <c r="B21" s="334" t="s">
        <v>446</v>
      </c>
      <c r="C21" s="320" t="s">
        <v>446</v>
      </c>
      <c r="D21" s="353">
        <v>395.33956590405006</v>
      </c>
      <c r="E21" s="354">
        <v>1677.1659452365816</v>
      </c>
      <c r="F21" s="397">
        <v>2312.7901572943488</v>
      </c>
      <c r="G21" s="396">
        <v>1102.7520672102667</v>
      </c>
      <c r="H21" s="397">
        <v>4138.1951318368037</v>
      </c>
      <c r="I21" s="396">
        <v>6394.3963697750123</v>
      </c>
      <c r="J21" s="397">
        <v>8568.0009527133097</v>
      </c>
      <c r="K21" s="362"/>
    </row>
    <row r="22" spans="2:11" ht="15" thickBot="1" x14ac:dyDescent="0.35">
      <c r="B22" s="335"/>
      <c r="C22" s="336"/>
      <c r="D22" s="348"/>
      <c r="E22" s="348"/>
      <c r="F22" s="348"/>
      <c r="G22" s="348"/>
      <c r="H22" s="348"/>
      <c r="I22" s="348"/>
      <c r="J22" s="348"/>
      <c r="K22" s="337"/>
    </row>
    <row r="23" spans="2:11" x14ac:dyDescent="0.3">
      <c r="D23" s="315"/>
      <c r="E23" s="315"/>
      <c r="F23" s="315"/>
      <c r="G23" s="315"/>
      <c r="H23" s="315"/>
      <c r="I23" s="315"/>
      <c r="J23" s="315"/>
    </row>
    <row r="24" spans="2:11" x14ac:dyDescent="0.3">
      <c r="D24" s="315"/>
      <c r="E24" s="315"/>
      <c r="F24" s="315"/>
      <c r="G24" s="315"/>
      <c r="H24" s="315"/>
      <c r="I24" s="315"/>
      <c r="J24" s="315"/>
    </row>
    <row r="25" spans="2:11" ht="15" thickBot="1" x14ac:dyDescent="0.35">
      <c r="B25" s="191"/>
      <c r="C25" s="191"/>
      <c r="D25" s="315"/>
      <c r="E25" s="315"/>
      <c r="F25" s="315"/>
      <c r="G25" s="315"/>
      <c r="H25" s="315"/>
      <c r="I25" s="315"/>
      <c r="J25" s="315"/>
    </row>
    <row r="26" spans="2:11" ht="28.8" x14ac:dyDescent="0.3">
      <c r="B26" s="358" t="s">
        <v>450</v>
      </c>
      <c r="C26" s="367" t="s">
        <v>461</v>
      </c>
      <c r="D26" s="323">
        <v>2016</v>
      </c>
      <c r="E26" s="323">
        <v>2017</v>
      </c>
      <c r="F26" s="323">
        <v>2018</v>
      </c>
      <c r="G26" s="323">
        <v>2019</v>
      </c>
      <c r="H26" s="323" t="s">
        <v>317</v>
      </c>
      <c r="I26" s="323" t="s">
        <v>319</v>
      </c>
      <c r="J26" s="323" t="s">
        <v>409</v>
      </c>
      <c r="K26" s="324">
        <v>2020</v>
      </c>
    </row>
    <row r="27" spans="2:11" hidden="1" outlineLevel="1" x14ac:dyDescent="0.3">
      <c r="B27" s="325" t="s">
        <v>398</v>
      </c>
      <c r="C27" s="317" t="s">
        <v>323</v>
      </c>
      <c r="D27" s="343">
        <f>G151</f>
        <v>1015.4943420000001</v>
      </c>
      <c r="E27" s="344">
        <f>F151</f>
        <v>837.77375500000005</v>
      </c>
      <c r="F27" s="343">
        <v>626.95699999999999</v>
      </c>
      <c r="G27" s="344">
        <v>2360.87</v>
      </c>
      <c r="H27" s="343"/>
      <c r="I27" s="344"/>
      <c r="J27" s="343"/>
      <c r="K27" s="326"/>
    </row>
    <row r="28" spans="2:11" hidden="1" outlineLevel="1" x14ac:dyDescent="0.3">
      <c r="B28" s="325" t="s">
        <v>399</v>
      </c>
      <c r="C28" s="317"/>
      <c r="D28" s="343"/>
      <c r="E28" s="344"/>
      <c r="F28" s="343">
        <v>0</v>
      </c>
      <c r="G28" s="344">
        <v>0.69199999999999995</v>
      </c>
      <c r="H28" s="343"/>
      <c r="I28" s="344"/>
      <c r="J28" s="343"/>
      <c r="K28" s="326"/>
    </row>
    <row r="29" spans="2:11" collapsed="1" x14ac:dyDescent="0.3">
      <c r="B29" s="369" t="s">
        <v>269</v>
      </c>
      <c r="C29" s="321" t="s">
        <v>459</v>
      </c>
      <c r="D29" s="370">
        <f t="shared" ref="D29" si="3">+D27+D28</f>
        <v>1015.4943420000001</v>
      </c>
      <c r="E29" s="371">
        <f t="shared" ref="E29" si="4">+E27+E28</f>
        <v>837.77375500000005</v>
      </c>
      <c r="F29" s="370">
        <f>+F27+F28</f>
        <v>626.95699999999999</v>
      </c>
      <c r="G29" s="371">
        <f>+G27+G28</f>
        <v>2361.5619999999999</v>
      </c>
      <c r="H29" s="370">
        <v>854.14561300000003</v>
      </c>
      <c r="I29" s="371">
        <v>1824.9811460000001</v>
      </c>
      <c r="J29" s="370">
        <v>2593.4760820000001</v>
      </c>
      <c r="K29" s="375">
        <v>3584.9936440000001</v>
      </c>
    </row>
    <row r="30" spans="2:11" x14ac:dyDescent="0.3">
      <c r="B30" s="325" t="s">
        <v>169</v>
      </c>
      <c r="C30" s="373" t="s">
        <v>455</v>
      </c>
      <c r="D30" s="343"/>
      <c r="E30" s="344"/>
      <c r="F30" s="343">
        <v>-164.44706500000001</v>
      </c>
      <c r="G30" s="344">
        <v>-492.32457199999999</v>
      </c>
      <c r="H30" s="343">
        <v>-138.552784</v>
      </c>
      <c r="I30" s="344">
        <v>-303.431939</v>
      </c>
      <c r="J30" s="343">
        <v>-460.72027300000002</v>
      </c>
      <c r="K30" s="362">
        <v>-669.37559699999997</v>
      </c>
    </row>
    <row r="31" spans="2:11" x14ac:dyDescent="0.3">
      <c r="B31" s="325" t="s">
        <v>143</v>
      </c>
      <c r="C31" s="373" t="s">
        <v>457</v>
      </c>
      <c r="D31" s="343"/>
      <c r="E31" s="344"/>
      <c r="F31" s="343">
        <v>-72.527202000000003</v>
      </c>
      <c r="G31" s="344">
        <v>0</v>
      </c>
      <c r="H31" s="343">
        <v>0</v>
      </c>
      <c r="I31" s="344">
        <v>0</v>
      </c>
      <c r="J31" s="343">
        <v>-0.05</v>
      </c>
      <c r="K31" s="362">
        <v>-0.05</v>
      </c>
    </row>
    <row r="32" spans="2:11" x14ac:dyDescent="0.3">
      <c r="B32" s="325" t="s">
        <v>400</v>
      </c>
      <c r="C32" s="373" t="s">
        <v>456</v>
      </c>
      <c r="D32" s="343"/>
      <c r="E32" s="344"/>
      <c r="F32" s="343">
        <v>42.755336999999997</v>
      </c>
      <c r="G32" s="344">
        <v>34.405726999999999</v>
      </c>
      <c r="H32" s="343">
        <v>9.9680420000000005</v>
      </c>
      <c r="I32" s="344">
        <v>24.179760000000002</v>
      </c>
      <c r="J32" s="343">
        <v>33.363067000000001</v>
      </c>
      <c r="K32" s="362">
        <v>39.092208999999997</v>
      </c>
    </row>
    <row r="33" spans="2:11" ht="15" thickBot="1" x14ac:dyDescent="0.35">
      <c r="B33" s="327" t="s">
        <v>270</v>
      </c>
      <c r="C33" s="374" t="s">
        <v>460</v>
      </c>
      <c r="D33" s="341">
        <f>G158</f>
        <v>-302.82872500000002</v>
      </c>
      <c r="E33" s="342">
        <f>F158</f>
        <v>-280</v>
      </c>
      <c r="F33" s="341">
        <f>SUM(F30:F32)</f>
        <v>-194.21893</v>
      </c>
      <c r="G33" s="342">
        <f>SUM(G30:G32)</f>
        <v>-457.91884499999998</v>
      </c>
      <c r="H33" s="341">
        <f t="shared" ref="H33" si="5">SUM(H30:H32)</f>
        <v>-128.58474200000001</v>
      </c>
      <c r="I33" s="342">
        <f t="shared" ref="I33" si="6">SUM(I30:I32)</f>
        <v>-279.25217900000001</v>
      </c>
      <c r="J33" s="341">
        <f>SUM(J30:J32)</f>
        <v>-427.40720600000003</v>
      </c>
      <c r="K33" s="361">
        <v>0</v>
      </c>
    </row>
    <row r="34" spans="2:11" ht="15" thickBot="1" x14ac:dyDescent="0.35">
      <c r="B34" s="330" t="s">
        <v>139</v>
      </c>
      <c r="C34" s="192" t="s">
        <v>139</v>
      </c>
      <c r="D34" s="345">
        <f>G165</f>
        <v>712.66561700000011</v>
      </c>
      <c r="E34" s="346">
        <f>F165</f>
        <v>557.77375500000005</v>
      </c>
      <c r="F34" s="345">
        <f>E165</f>
        <v>432.95699999999999</v>
      </c>
      <c r="G34" s="346">
        <f>D165</f>
        <v>1903.6441900000002</v>
      </c>
      <c r="H34" s="345">
        <f t="shared" ref="H34" si="7">+H29+H33</f>
        <v>725.56087100000002</v>
      </c>
      <c r="I34" s="346">
        <f t="shared" ref="I34" si="8">+I29+I33</f>
        <v>1545.728967</v>
      </c>
      <c r="J34" s="345">
        <f>+J29+J33</f>
        <v>2166.0688760000003</v>
      </c>
      <c r="K34" s="363">
        <v>2954.6602560000001</v>
      </c>
    </row>
    <row r="35" spans="2:11" x14ac:dyDescent="0.3">
      <c r="B35" s="325"/>
      <c r="C35" s="317"/>
      <c r="D35" s="357"/>
      <c r="E35" s="357"/>
      <c r="F35" s="357"/>
      <c r="G35" s="357"/>
      <c r="H35" s="357"/>
      <c r="I35" s="357"/>
      <c r="J35" s="357"/>
      <c r="K35" s="326"/>
    </row>
    <row r="36" spans="2:11" ht="15" thickBot="1" x14ac:dyDescent="0.35">
      <c r="B36" s="338" t="s">
        <v>448</v>
      </c>
      <c r="C36" s="339"/>
      <c r="D36" s="347"/>
      <c r="E36" s="347"/>
      <c r="F36" s="347"/>
      <c r="G36" s="347"/>
      <c r="H36" s="347"/>
      <c r="I36" s="347"/>
      <c r="J36" s="347"/>
      <c r="K36" s="340"/>
    </row>
    <row r="37" spans="2:11" ht="28.8" x14ac:dyDescent="0.3">
      <c r="B37" s="358" t="s">
        <v>450</v>
      </c>
      <c r="C37" s="367" t="s">
        <v>461</v>
      </c>
      <c r="D37" s="323" t="s">
        <v>317</v>
      </c>
      <c r="E37" s="323" t="s">
        <v>319</v>
      </c>
      <c r="F37" s="323" t="s">
        <v>409</v>
      </c>
      <c r="G37" s="323" t="s">
        <v>444</v>
      </c>
      <c r="H37" s="323" t="s">
        <v>467</v>
      </c>
      <c r="I37" s="323" t="s">
        <v>468</v>
      </c>
      <c r="J37" s="323">
        <v>2021</v>
      </c>
      <c r="K37" s="362"/>
    </row>
    <row r="38" spans="2:11" x14ac:dyDescent="0.3">
      <c r="B38" s="332" t="s">
        <v>269</v>
      </c>
      <c r="C38" s="321" t="s">
        <v>459</v>
      </c>
      <c r="D38" s="359">
        <v>854.14561300000003</v>
      </c>
      <c r="E38" s="360">
        <v>1826.483448</v>
      </c>
      <c r="F38" s="359">
        <v>2594.978384</v>
      </c>
      <c r="G38" s="360">
        <v>1276.776852</v>
      </c>
      <c r="H38" s="359">
        <v>2702.6757480000001</v>
      </c>
      <c r="I38" s="360">
        <v>3733.915207</v>
      </c>
      <c r="J38" s="398">
        <v>5006.5676350000003</v>
      </c>
      <c r="K38" s="362"/>
    </row>
    <row r="39" spans="2:11" x14ac:dyDescent="0.3">
      <c r="B39" s="333" t="s">
        <v>438</v>
      </c>
      <c r="C39" s="373" t="s">
        <v>418</v>
      </c>
      <c r="D39" s="343">
        <v>0</v>
      </c>
      <c r="E39" s="344">
        <v>0</v>
      </c>
      <c r="F39" s="343">
        <v>0</v>
      </c>
      <c r="G39" s="344">
        <v>0</v>
      </c>
      <c r="H39" s="343">
        <v>0</v>
      </c>
      <c r="I39" s="344">
        <v>0</v>
      </c>
      <c r="J39" s="400">
        <v>0</v>
      </c>
      <c r="K39" s="362"/>
    </row>
    <row r="40" spans="2:11" x14ac:dyDescent="0.3">
      <c r="B40" s="333" t="s">
        <v>169</v>
      </c>
      <c r="C40" s="373" t="s">
        <v>455</v>
      </c>
      <c r="D40" s="343">
        <v>-97.923658000000003</v>
      </c>
      <c r="E40" s="344">
        <v>-219.453802</v>
      </c>
      <c r="F40" s="343">
        <v>-355.53599600000001</v>
      </c>
      <c r="G40" s="344">
        <v>-136.47601900000001</v>
      </c>
      <c r="H40" s="343">
        <v>-309.18091099999998</v>
      </c>
      <c r="I40" s="344">
        <v>-481.19304899999997</v>
      </c>
      <c r="J40" s="400">
        <v>-664.92608700000005</v>
      </c>
      <c r="K40" s="362"/>
    </row>
    <row r="41" spans="2:11" x14ac:dyDescent="0.3">
      <c r="B41" s="333" t="s">
        <v>143</v>
      </c>
      <c r="C41" s="373" t="s">
        <v>457</v>
      </c>
      <c r="D41" s="343">
        <v>-26.198546</v>
      </c>
      <c r="E41" s="344">
        <v>-60.088492000000002</v>
      </c>
      <c r="F41" s="343">
        <v>-93.914191000000002</v>
      </c>
      <c r="G41" s="344">
        <v>-43.879548999999997</v>
      </c>
      <c r="H41" s="343">
        <v>-104.465412</v>
      </c>
      <c r="I41" s="344">
        <v>-138.330702</v>
      </c>
      <c r="J41" s="400">
        <v>-187.552145</v>
      </c>
      <c r="K41" s="362"/>
    </row>
    <row r="42" spans="2:11" ht="15" thickBot="1" x14ac:dyDescent="0.35">
      <c r="B42" s="333" t="s">
        <v>400</v>
      </c>
      <c r="C42" s="373" t="s">
        <v>456</v>
      </c>
      <c r="D42" s="343">
        <v>9.9680409999999995</v>
      </c>
      <c r="E42" s="344">
        <v>30.363389999999999</v>
      </c>
      <c r="F42" s="343">
        <v>39.576348000000003</v>
      </c>
      <c r="G42" s="344">
        <v>14.885300000000001</v>
      </c>
      <c r="H42" s="343">
        <v>18.763017999999999</v>
      </c>
      <c r="I42" s="344">
        <v>13.903919</v>
      </c>
      <c r="J42" s="400">
        <v>-37.050595000000001</v>
      </c>
      <c r="K42" s="362"/>
    </row>
    <row r="43" spans="2:11" ht="15" thickTop="1" x14ac:dyDescent="0.3">
      <c r="B43" s="334" t="s">
        <v>139</v>
      </c>
      <c r="C43" s="320" t="s">
        <v>139</v>
      </c>
      <c r="D43" s="353">
        <v>739.99144999999999</v>
      </c>
      <c r="E43" s="354">
        <v>1577.3045439999999</v>
      </c>
      <c r="F43" s="353">
        <v>2185.1045450000001</v>
      </c>
      <c r="G43" s="354">
        <v>1111.3065839999999</v>
      </c>
      <c r="H43" s="353">
        <v>2307.7924430000003</v>
      </c>
      <c r="I43" s="354">
        <v>3128.2953749999997</v>
      </c>
      <c r="J43" s="399">
        <v>4117.0388080000012</v>
      </c>
      <c r="K43" s="362"/>
    </row>
    <row r="44" spans="2:11" ht="15" thickBot="1" x14ac:dyDescent="0.35">
      <c r="B44" s="333" t="s">
        <v>445</v>
      </c>
      <c r="C44" s="368" t="s">
        <v>458</v>
      </c>
      <c r="D44" s="355">
        <v>-19.975341403388764</v>
      </c>
      <c r="E44" s="356">
        <v>-41.095917606512359</v>
      </c>
      <c r="F44" s="355">
        <v>-61.981117914942303</v>
      </c>
      <c r="G44" s="356">
        <v>-21.767786247282963</v>
      </c>
      <c r="H44" s="355">
        <v>-47.64396411346052</v>
      </c>
      <c r="I44" s="356">
        <v>-66.933164946165419</v>
      </c>
      <c r="J44" s="400">
        <v>-92.914352103459748</v>
      </c>
      <c r="K44" s="362"/>
    </row>
    <row r="45" spans="2:11" ht="15" thickTop="1" x14ac:dyDescent="0.3">
      <c r="B45" s="334" t="s">
        <v>446</v>
      </c>
      <c r="C45" s="320" t="s">
        <v>446</v>
      </c>
      <c r="D45" s="353">
        <v>720.01610859661128</v>
      </c>
      <c r="E45" s="354">
        <v>1536.2086263934875</v>
      </c>
      <c r="F45" s="353">
        <v>2123.1234270850578</v>
      </c>
      <c r="G45" s="354">
        <v>1089.5387977527171</v>
      </c>
      <c r="H45" s="353">
        <v>2260.1484788865396</v>
      </c>
      <c r="I45" s="354">
        <v>3061.3622100538341</v>
      </c>
      <c r="J45" s="397">
        <v>4024.1244558965413</v>
      </c>
      <c r="K45" s="362"/>
    </row>
    <row r="46" spans="2:11" ht="15" thickBot="1" x14ac:dyDescent="0.35">
      <c r="B46" s="335"/>
      <c r="C46" s="336"/>
      <c r="D46" s="348"/>
      <c r="E46" s="348"/>
      <c r="F46" s="348"/>
      <c r="G46" s="348"/>
      <c r="H46" s="348"/>
      <c r="I46" s="348"/>
      <c r="J46" s="348"/>
      <c r="K46" s="337"/>
    </row>
    <row r="47" spans="2:11" x14ac:dyDescent="0.3">
      <c r="D47" s="315"/>
      <c r="E47" s="315"/>
      <c r="F47" s="315"/>
      <c r="G47" s="315"/>
      <c r="H47" s="315"/>
      <c r="I47" s="315"/>
      <c r="J47" s="315"/>
    </row>
    <row r="48" spans="2:11" ht="15" thickBot="1" x14ac:dyDescent="0.35">
      <c r="B48" s="191"/>
      <c r="C48" s="191"/>
      <c r="D48" s="315"/>
      <c r="E48" s="315"/>
      <c r="F48" s="315"/>
      <c r="G48" s="315"/>
      <c r="H48" s="315"/>
      <c r="I48" s="315"/>
      <c r="J48" s="315"/>
    </row>
    <row r="49" spans="2:11" x14ac:dyDescent="0.3">
      <c r="B49" s="322" t="s">
        <v>451</v>
      </c>
      <c r="C49" s="367" t="s">
        <v>462</v>
      </c>
      <c r="D49" s="323">
        <v>2016</v>
      </c>
      <c r="E49" s="323">
        <v>2017</v>
      </c>
      <c r="F49" s="323">
        <v>2018</v>
      </c>
      <c r="G49" s="323">
        <v>2019</v>
      </c>
      <c r="H49" s="323" t="s">
        <v>317</v>
      </c>
      <c r="I49" s="323" t="s">
        <v>319</v>
      </c>
      <c r="J49" s="323" t="s">
        <v>409</v>
      </c>
      <c r="K49" s="324">
        <v>2020</v>
      </c>
    </row>
    <row r="50" spans="2:11" hidden="1" outlineLevel="1" x14ac:dyDescent="0.3">
      <c r="B50" s="325" t="s">
        <v>398</v>
      </c>
      <c r="C50" s="317" t="s">
        <v>323</v>
      </c>
      <c r="D50" s="343">
        <f>G152</f>
        <v>3897.1971610000001</v>
      </c>
      <c r="E50" s="344">
        <f>F152</f>
        <v>6216.3799730000001</v>
      </c>
      <c r="F50" s="343">
        <v>2975.777</v>
      </c>
      <c r="G50" s="344">
        <v>3978.8510000000001</v>
      </c>
      <c r="H50" s="343"/>
      <c r="I50" s="344"/>
      <c r="J50" s="343"/>
      <c r="K50" s="326"/>
    </row>
    <row r="51" spans="2:11" hidden="1" outlineLevel="1" x14ac:dyDescent="0.3">
      <c r="B51" s="325" t="s">
        <v>399</v>
      </c>
      <c r="C51" s="317"/>
      <c r="D51" s="343"/>
      <c r="E51" s="344"/>
      <c r="F51" s="343">
        <v>4605.91</v>
      </c>
      <c r="G51" s="344">
        <v>5579.36</v>
      </c>
      <c r="H51" s="343"/>
      <c r="I51" s="344"/>
      <c r="J51" s="343"/>
      <c r="K51" s="326"/>
    </row>
    <row r="52" spans="2:11" collapsed="1" x14ac:dyDescent="0.3">
      <c r="B52" s="369" t="s">
        <v>269</v>
      </c>
      <c r="C52" s="321" t="s">
        <v>459</v>
      </c>
      <c r="D52" s="370">
        <f t="shared" ref="D52" si="9">+D50+D51</f>
        <v>3897.1971610000001</v>
      </c>
      <c r="E52" s="371">
        <f t="shared" ref="E52" si="10">+E50+E51</f>
        <v>6216.3799730000001</v>
      </c>
      <c r="F52" s="370">
        <f>+F50+F51</f>
        <v>7581.6869999999999</v>
      </c>
      <c r="G52" s="371">
        <f>+G50+G51</f>
        <v>9558.2109999999993</v>
      </c>
      <c r="H52" s="370">
        <v>2378.663806</v>
      </c>
      <c r="I52" s="371">
        <v>5133.0467189999999</v>
      </c>
      <c r="J52" s="370">
        <v>7833.4781130000001</v>
      </c>
      <c r="K52" s="375">
        <v>10746.656838999999</v>
      </c>
    </row>
    <row r="53" spans="2:11" x14ac:dyDescent="0.3">
      <c r="B53" s="325" t="s">
        <v>169</v>
      </c>
      <c r="C53" s="373" t="s">
        <v>455</v>
      </c>
      <c r="D53" s="343"/>
      <c r="E53" s="344"/>
      <c r="F53" s="343">
        <v>-4926.3543970000001</v>
      </c>
      <c r="G53" s="344">
        <v>-5747.9749039999997</v>
      </c>
      <c r="H53" s="343">
        <v>-1550.3812869999999</v>
      </c>
      <c r="I53" s="344">
        <v>-3561.4153489999999</v>
      </c>
      <c r="J53" s="343">
        <v>-5559.0838880000001</v>
      </c>
      <c r="K53" s="362">
        <v>-7808.7500980000004</v>
      </c>
    </row>
    <row r="54" spans="2:11" x14ac:dyDescent="0.3">
      <c r="B54" s="325" t="s">
        <v>143</v>
      </c>
      <c r="C54" s="373" t="s">
        <v>457</v>
      </c>
      <c r="D54" s="343"/>
      <c r="E54" s="344"/>
      <c r="F54" s="343">
        <v>-1611.2658750000001</v>
      </c>
      <c r="G54" s="344">
        <v>-1942.7011560000001</v>
      </c>
      <c r="H54" s="343">
        <v>-574.42467299999998</v>
      </c>
      <c r="I54" s="344">
        <v>-1162.7612449999999</v>
      </c>
      <c r="J54" s="343">
        <v>-1774.268904</v>
      </c>
      <c r="K54" s="362">
        <v>-2445.5793829999998</v>
      </c>
    </row>
    <row r="55" spans="2:11" x14ac:dyDescent="0.3">
      <c r="B55" s="325" t="s">
        <v>400</v>
      </c>
      <c r="C55" s="373" t="s">
        <v>456</v>
      </c>
      <c r="D55" s="343"/>
      <c r="E55" s="344"/>
      <c r="F55" s="343">
        <v>212.96696299999999</v>
      </c>
      <c r="G55" s="344">
        <v>-54.346029000000001</v>
      </c>
      <c r="H55" s="343">
        <v>-8.2325999999999996E-2</v>
      </c>
      <c r="I55" s="344">
        <v>5.0787420000000001</v>
      </c>
      <c r="J55" s="343">
        <v>6.2236789999999997</v>
      </c>
      <c r="K55" s="362">
        <v>-94.563053999999994</v>
      </c>
    </row>
    <row r="56" spans="2:11" ht="15" thickBot="1" x14ac:dyDescent="0.35">
      <c r="B56" s="327" t="s">
        <v>270</v>
      </c>
      <c r="C56" s="374" t="s">
        <v>460</v>
      </c>
      <c r="D56" s="341">
        <f>G159</f>
        <v>-3133.6149570000002</v>
      </c>
      <c r="E56" s="342">
        <f>F159</f>
        <v>-5049</v>
      </c>
      <c r="F56" s="341">
        <f>SUM(F53:F55)</f>
        <v>-6324.6533090000003</v>
      </c>
      <c r="G56" s="342">
        <f>SUM(G53:G55)</f>
        <v>-7745.0220890000001</v>
      </c>
      <c r="H56" s="341">
        <f t="shared" ref="H56" si="11">SUM(H53:H55)</f>
        <v>-2124.8882859999999</v>
      </c>
      <c r="I56" s="342">
        <f t="shared" ref="I56" si="12">SUM(I53:I55)</f>
        <v>-4719.0978519999999</v>
      </c>
      <c r="J56" s="341">
        <f>SUM(J53:J55)</f>
        <v>-7327.129113</v>
      </c>
      <c r="K56" s="361">
        <v>43.137740999999998</v>
      </c>
    </row>
    <row r="57" spans="2:11" ht="15" thickBot="1" x14ac:dyDescent="0.35">
      <c r="B57" s="330" t="s">
        <v>139</v>
      </c>
      <c r="C57" s="192" t="s">
        <v>139</v>
      </c>
      <c r="D57" s="345">
        <f>G166</f>
        <v>763.58220399999982</v>
      </c>
      <c r="E57" s="346">
        <f>F166</f>
        <v>1167.3799730000001</v>
      </c>
      <c r="F57" s="345">
        <f>E166</f>
        <v>1256.6869999999999</v>
      </c>
      <c r="G57" s="346">
        <f>D166</f>
        <v>1813.1889260000007</v>
      </c>
      <c r="H57" s="345">
        <f t="shared" ref="H57" si="13">+H52+H56</f>
        <v>253.77552000000014</v>
      </c>
      <c r="I57" s="346">
        <f t="shared" ref="I57" si="14">+I52+I56</f>
        <v>413.94886700000006</v>
      </c>
      <c r="J57" s="345">
        <f>+J52+J56</f>
        <v>506.34900000000016</v>
      </c>
      <c r="K57" s="363">
        <v>440.90204499999953</v>
      </c>
    </row>
    <row r="58" spans="2:11" x14ac:dyDescent="0.3">
      <c r="B58" s="325"/>
      <c r="C58" s="317"/>
      <c r="D58" s="357"/>
      <c r="E58" s="357"/>
      <c r="F58" s="357"/>
      <c r="G58" s="357"/>
      <c r="H58" s="357"/>
      <c r="I58" s="357"/>
      <c r="J58" s="357"/>
      <c r="K58" s="326"/>
    </row>
    <row r="59" spans="2:11" ht="15" thickBot="1" x14ac:dyDescent="0.35">
      <c r="B59" s="338" t="s">
        <v>448</v>
      </c>
      <c r="C59" s="339"/>
      <c r="D59" s="347"/>
      <c r="E59" s="347"/>
      <c r="F59" s="347"/>
      <c r="G59" s="347"/>
      <c r="H59" s="347"/>
      <c r="I59" s="347"/>
      <c r="J59" s="347"/>
      <c r="K59" s="340"/>
    </row>
    <row r="60" spans="2:11" x14ac:dyDescent="0.3">
      <c r="B60" s="364" t="s">
        <v>451</v>
      </c>
      <c r="C60" s="367" t="s">
        <v>462</v>
      </c>
      <c r="D60" s="323" t="s">
        <v>317</v>
      </c>
      <c r="E60" s="323" t="s">
        <v>319</v>
      </c>
      <c r="F60" s="323" t="s">
        <v>409</v>
      </c>
      <c r="G60" s="323" t="s">
        <v>444</v>
      </c>
      <c r="H60" s="323" t="s">
        <v>467</v>
      </c>
      <c r="I60" s="323" t="s">
        <v>468</v>
      </c>
      <c r="J60" s="323">
        <v>2021</v>
      </c>
      <c r="K60" s="362"/>
    </row>
    <row r="61" spans="2:11" x14ac:dyDescent="0.3">
      <c r="B61" s="332" t="s">
        <v>269</v>
      </c>
      <c r="C61" s="321" t="s">
        <v>459</v>
      </c>
      <c r="D61" s="359">
        <v>1015.393445</v>
      </c>
      <c r="E61" s="360">
        <v>2023.3077780000001</v>
      </c>
      <c r="F61" s="359">
        <v>3654.9203689999999</v>
      </c>
      <c r="G61" s="360">
        <v>688.93179999999995</v>
      </c>
      <c r="H61" s="359">
        <v>1486.5342499999999</v>
      </c>
      <c r="I61" s="360">
        <v>2363.8770770000001</v>
      </c>
      <c r="J61" s="398">
        <v>3305.4692789999999</v>
      </c>
      <c r="K61" s="362"/>
    </row>
    <row r="62" spans="2:11" x14ac:dyDescent="0.3">
      <c r="B62" s="333" t="s">
        <v>438</v>
      </c>
      <c r="C62" s="373" t="s">
        <v>418</v>
      </c>
      <c r="D62" s="343">
        <v>5.4641719999999996</v>
      </c>
      <c r="E62" s="344">
        <v>9.960032</v>
      </c>
      <c r="F62" s="343">
        <v>15.245792</v>
      </c>
      <c r="G62" s="344">
        <v>32.358257999999999</v>
      </c>
      <c r="H62" s="343">
        <v>65.924637000000004</v>
      </c>
      <c r="I62" s="344">
        <v>103.444453</v>
      </c>
      <c r="J62" s="400">
        <v>135.43105199999999</v>
      </c>
      <c r="K62" s="362"/>
    </row>
    <row r="63" spans="2:11" x14ac:dyDescent="0.3">
      <c r="B63" s="333" t="s">
        <v>169</v>
      </c>
      <c r="C63" s="373" t="s">
        <v>455</v>
      </c>
      <c r="D63" s="343">
        <v>-506.50804599999998</v>
      </c>
      <c r="E63" s="344">
        <v>-1053.871431</v>
      </c>
      <c r="F63" s="343">
        <v>-2137.8035319999999</v>
      </c>
      <c r="G63" s="344">
        <v>-220.83137099999999</v>
      </c>
      <c r="H63" s="343">
        <v>-597.042506</v>
      </c>
      <c r="I63" s="344">
        <v>-872.09309800000005</v>
      </c>
      <c r="J63" s="400">
        <v>-1379.3160600000001</v>
      </c>
      <c r="K63" s="362"/>
    </row>
    <row r="64" spans="2:11" x14ac:dyDescent="0.3">
      <c r="B64" s="333" t="s">
        <v>143</v>
      </c>
      <c r="C64" s="373" t="s">
        <v>457</v>
      </c>
      <c r="D64" s="343">
        <v>-288.73344300000002</v>
      </c>
      <c r="E64" s="344">
        <v>-573.52782200000001</v>
      </c>
      <c r="F64" s="343">
        <v>-901.34715700000004</v>
      </c>
      <c r="G64" s="344">
        <v>-304.824772</v>
      </c>
      <c r="H64" s="343">
        <v>-770.649764</v>
      </c>
      <c r="I64" s="344">
        <v>-1032.0800830000001</v>
      </c>
      <c r="J64" s="400">
        <v>-1413.1897839999999</v>
      </c>
      <c r="K64" s="362"/>
    </row>
    <row r="65" spans="2:11" ht="15" thickBot="1" x14ac:dyDescent="0.35">
      <c r="B65" s="333" t="s">
        <v>400</v>
      </c>
      <c r="C65" s="373" t="s">
        <v>456</v>
      </c>
      <c r="D65" s="343">
        <v>-7.3820999999999998E-2</v>
      </c>
      <c r="E65" s="344">
        <v>4.5116999999999997E-2</v>
      </c>
      <c r="F65" s="343">
        <v>0.58073699999999995</v>
      </c>
      <c r="G65" s="344">
        <v>28.512644000000002</v>
      </c>
      <c r="H65" s="343">
        <v>74.906482999999994</v>
      </c>
      <c r="I65" s="344">
        <v>47.587017000000003</v>
      </c>
      <c r="J65" s="400">
        <v>47.844014000000001</v>
      </c>
      <c r="K65" s="362"/>
    </row>
    <row r="66" spans="2:11" ht="15" thickTop="1" x14ac:dyDescent="0.3">
      <c r="B66" s="334" t="s">
        <v>139</v>
      </c>
      <c r="C66" s="320" t="s">
        <v>139</v>
      </c>
      <c r="D66" s="353">
        <v>225.54230699999994</v>
      </c>
      <c r="E66" s="354">
        <v>405.91367400000001</v>
      </c>
      <c r="F66" s="353">
        <v>631.59620900000016</v>
      </c>
      <c r="G66" s="354">
        <v>224.14655899999994</v>
      </c>
      <c r="H66" s="353">
        <v>259.67309999999998</v>
      </c>
      <c r="I66" s="354">
        <v>610.73536600000011</v>
      </c>
      <c r="J66" s="399">
        <v>696.23850099999981</v>
      </c>
      <c r="K66" s="362"/>
    </row>
    <row r="67" spans="2:11" ht="15" thickBot="1" x14ac:dyDescent="0.35">
      <c r="B67" s="333" t="s">
        <v>445</v>
      </c>
      <c r="C67" s="368" t="s">
        <v>458</v>
      </c>
      <c r="D67" s="355">
        <v>-141.84665053010468</v>
      </c>
      <c r="E67" s="356">
        <v>-286.41107129417361</v>
      </c>
      <c r="F67" s="355">
        <v>-445.97766547854678</v>
      </c>
      <c r="G67" s="356">
        <v>-158.4335076650265</v>
      </c>
      <c r="H67" s="355">
        <v>-369.30169574631947</v>
      </c>
      <c r="I67" s="356">
        <v>-520.55986153741094</v>
      </c>
      <c r="J67" s="400">
        <v>-731.25173141553296</v>
      </c>
      <c r="K67" s="362"/>
    </row>
    <row r="68" spans="2:11" ht="15" thickTop="1" x14ac:dyDescent="0.3">
      <c r="B68" s="334" t="s">
        <v>446</v>
      </c>
      <c r="C68" s="320" t="s">
        <v>446</v>
      </c>
      <c r="D68" s="353">
        <v>83.695656469895255</v>
      </c>
      <c r="E68" s="354">
        <v>119.5026027058264</v>
      </c>
      <c r="F68" s="359">
        <v>185.61854352145338</v>
      </c>
      <c r="G68" s="360">
        <v>65.713051334973443</v>
      </c>
      <c r="H68" s="359">
        <v>-109.62859574631949</v>
      </c>
      <c r="I68" s="360">
        <v>90.175504462589174</v>
      </c>
      <c r="J68" s="397">
        <v>-35.013230415533144</v>
      </c>
      <c r="K68" s="362"/>
    </row>
    <row r="69" spans="2:11" ht="15" thickBot="1" x14ac:dyDescent="0.35">
      <c r="B69" s="335"/>
      <c r="C69" s="336"/>
      <c r="D69" s="348"/>
      <c r="E69" s="348"/>
      <c r="F69" s="348"/>
      <c r="G69" s="348"/>
      <c r="H69" s="348"/>
      <c r="I69" s="348"/>
      <c r="J69" s="348"/>
      <c r="K69" s="337"/>
    </row>
    <row r="70" spans="2:11" x14ac:dyDescent="0.3">
      <c r="D70" s="315"/>
      <c r="E70" s="315"/>
      <c r="F70" s="315"/>
      <c r="G70" s="315"/>
      <c r="H70" s="315"/>
      <c r="I70" s="315"/>
      <c r="J70" s="315"/>
    </row>
    <row r="71" spans="2:11" ht="15" thickBot="1" x14ac:dyDescent="0.35">
      <c r="B71" s="191"/>
      <c r="C71" s="191"/>
      <c r="D71" s="315"/>
      <c r="E71" s="315"/>
      <c r="F71" s="315"/>
      <c r="G71" s="315"/>
      <c r="H71" s="315"/>
      <c r="I71" s="315"/>
      <c r="J71" s="315"/>
    </row>
    <row r="72" spans="2:11" ht="28.8" x14ac:dyDescent="0.3">
      <c r="B72" s="322" t="s">
        <v>452</v>
      </c>
      <c r="C72" s="367" t="s">
        <v>463</v>
      </c>
      <c r="D72" s="323">
        <v>2016</v>
      </c>
      <c r="E72" s="323">
        <v>2017</v>
      </c>
      <c r="F72" s="323">
        <v>2018</v>
      </c>
      <c r="G72" s="323">
        <v>2019</v>
      </c>
      <c r="H72" s="323" t="s">
        <v>317</v>
      </c>
      <c r="I72" s="323" t="s">
        <v>319</v>
      </c>
      <c r="J72" s="323" t="s">
        <v>409</v>
      </c>
      <c r="K72" s="324">
        <v>2020</v>
      </c>
    </row>
    <row r="73" spans="2:11" hidden="1" outlineLevel="1" x14ac:dyDescent="0.3">
      <c r="B73" s="325" t="s">
        <v>398</v>
      </c>
      <c r="C73" s="317" t="s">
        <v>323</v>
      </c>
      <c r="D73" s="343">
        <f>G153</f>
        <v>3091.856252</v>
      </c>
      <c r="E73" s="344">
        <f>F153</f>
        <v>5120.8255200000003</v>
      </c>
      <c r="F73" s="343">
        <v>5965.7740000000003</v>
      </c>
      <c r="G73" s="344">
        <v>8921.6</v>
      </c>
      <c r="H73" s="343"/>
      <c r="I73" s="344"/>
      <c r="J73" s="343"/>
      <c r="K73" s="326"/>
    </row>
    <row r="74" spans="2:11" hidden="1" outlineLevel="1" x14ac:dyDescent="0.3">
      <c r="B74" s="325" t="s">
        <v>413</v>
      </c>
      <c r="C74" s="317"/>
      <c r="D74" s="343"/>
      <c r="E74" s="344"/>
      <c r="F74" s="343">
        <v>977.71500000000003</v>
      </c>
      <c r="G74" s="344">
        <v>979.83299999999997</v>
      </c>
      <c r="H74" s="343"/>
      <c r="I74" s="344"/>
      <c r="J74" s="343"/>
      <c r="K74" s="326"/>
    </row>
    <row r="75" spans="2:11" collapsed="1" x14ac:dyDescent="0.3">
      <c r="B75" s="369" t="s">
        <v>269</v>
      </c>
      <c r="C75" s="321" t="s">
        <v>459</v>
      </c>
      <c r="D75" s="370">
        <f t="shared" ref="D75" si="15">+D73+D74</f>
        <v>3091.856252</v>
      </c>
      <c r="E75" s="371">
        <f t="shared" ref="E75" si="16">+E73+E74</f>
        <v>5120.8255200000003</v>
      </c>
      <c r="F75" s="370">
        <f>+F73+F74</f>
        <v>6943.4890000000005</v>
      </c>
      <c r="G75" s="371">
        <f>+G73+G74</f>
        <v>9901.4330000000009</v>
      </c>
      <c r="H75" s="370">
        <v>3446.5788940000002</v>
      </c>
      <c r="I75" s="371">
        <v>5652.4070730000003</v>
      </c>
      <c r="J75" s="370">
        <v>8533.2410319999999</v>
      </c>
      <c r="K75" s="375">
        <v>11997.630348999999</v>
      </c>
    </row>
    <row r="76" spans="2:11" x14ac:dyDescent="0.3">
      <c r="B76" s="325" t="s">
        <v>169</v>
      </c>
      <c r="C76" s="373" t="s">
        <v>455</v>
      </c>
      <c r="D76" s="343"/>
      <c r="E76" s="344"/>
      <c r="F76" s="343">
        <v>-6625.7435009999999</v>
      </c>
      <c r="G76" s="344">
        <v>-9243.950073</v>
      </c>
      <c r="H76" s="343">
        <v>-3314.2955400000001</v>
      </c>
      <c r="I76" s="344">
        <v>-5532.8304660000003</v>
      </c>
      <c r="J76" s="343">
        <v>-8231.5403619999997</v>
      </c>
      <c r="K76" s="362">
        <v>-11616.009585</v>
      </c>
    </row>
    <row r="77" spans="2:11" x14ac:dyDescent="0.3">
      <c r="B77" s="325" t="s">
        <v>143</v>
      </c>
      <c r="C77" s="373" t="s">
        <v>457</v>
      </c>
      <c r="D77" s="343"/>
      <c r="E77" s="344"/>
      <c r="F77" s="343">
        <v>-53.205722000000002</v>
      </c>
      <c r="G77" s="344">
        <v>-78.573042000000001</v>
      </c>
      <c r="H77" s="343">
        <v>-24.565386</v>
      </c>
      <c r="I77" s="344">
        <v>-49.268940000000001</v>
      </c>
      <c r="J77" s="343">
        <v>-74.319208000000003</v>
      </c>
      <c r="K77" s="362">
        <v>-100.72804099999999</v>
      </c>
    </row>
    <row r="78" spans="2:11" x14ac:dyDescent="0.3">
      <c r="B78" s="325" t="s">
        <v>400</v>
      </c>
      <c r="C78" s="373" t="s">
        <v>456</v>
      </c>
      <c r="D78" s="343"/>
      <c r="E78" s="344"/>
      <c r="F78" s="343">
        <v>18.060008</v>
      </c>
      <c r="G78" s="344">
        <v>5.6130319999999996</v>
      </c>
      <c r="H78" s="343">
        <v>-0.87495999999999996</v>
      </c>
      <c r="I78" s="344">
        <v>26.004546000000001</v>
      </c>
      <c r="J78" s="343">
        <v>47.860207000000003</v>
      </c>
      <c r="K78" s="362">
        <v>4.7089590000000001</v>
      </c>
    </row>
    <row r="79" spans="2:11" ht="15" thickBot="1" x14ac:dyDescent="0.35">
      <c r="B79" s="327" t="s">
        <v>270</v>
      </c>
      <c r="C79" s="374" t="s">
        <v>460</v>
      </c>
      <c r="D79" s="341">
        <f>G160</f>
        <v>-2966.2490310000003</v>
      </c>
      <c r="E79" s="342">
        <f>F160</f>
        <v>-5262</v>
      </c>
      <c r="F79" s="341">
        <f>E160</f>
        <v>-6661</v>
      </c>
      <c r="G79" s="342">
        <f>D160</f>
        <v>-9316.9100830000007</v>
      </c>
      <c r="H79" s="341">
        <f t="shared" ref="H79" si="17">SUM(H76:H78)</f>
        <v>-3339.7358860000004</v>
      </c>
      <c r="I79" s="342">
        <f t="shared" ref="I79" si="18">SUM(I76:I78)</f>
        <v>-5556.0948600000002</v>
      </c>
      <c r="J79" s="341">
        <f>SUM(J76:J78)</f>
        <v>-8257.9993630000008</v>
      </c>
      <c r="K79" s="361">
        <v>0</v>
      </c>
    </row>
    <row r="80" spans="2:11" ht="15" thickBot="1" x14ac:dyDescent="0.35">
      <c r="B80" s="330" t="s">
        <v>139</v>
      </c>
      <c r="C80" s="192" t="s">
        <v>139</v>
      </c>
      <c r="D80" s="345">
        <f>G167</f>
        <v>125.60722099999975</v>
      </c>
      <c r="E80" s="346">
        <f>F167</f>
        <v>-141.17447999999968</v>
      </c>
      <c r="F80" s="345">
        <f>E167</f>
        <v>282.48899999999958</v>
      </c>
      <c r="G80" s="346">
        <f>D167</f>
        <v>584.52300100000025</v>
      </c>
      <c r="H80" s="345">
        <f t="shared" ref="H80" si="19">+H75+H79</f>
        <v>106.84300799999983</v>
      </c>
      <c r="I80" s="346">
        <f t="shared" ref="I80" si="20">+I75+I79</f>
        <v>96.312213000000156</v>
      </c>
      <c r="J80" s="345">
        <f>+J75+J79</f>
        <v>275.24166899999909</v>
      </c>
      <c r="K80" s="363">
        <v>285.60168200000044</v>
      </c>
    </row>
    <row r="81" spans="2:11" x14ac:dyDescent="0.3">
      <c r="B81" s="325"/>
      <c r="C81" s="317"/>
      <c r="D81" s="357"/>
      <c r="E81" s="357"/>
      <c r="F81" s="357"/>
      <c r="G81" s="357"/>
      <c r="H81" s="357"/>
      <c r="I81" s="357"/>
      <c r="J81" s="357"/>
      <c r="K81" s="326"/>
    </row>
    <row r="82" spans="2:11" ht="15" thickBot="1" x14ac:dyDescent="0.35">
      <c r="B82" s="338" t="s">
        <v>448</v>
      </c>
      <c r="C82" s="339"/>
      <c r="D82" s="347"/>
      <c r="E82" s="347"/>
      <c r="F82" s="347"/>
      <c r="G82" s="347"/>
      <c r="H82" s="347"/>
      <c r="I82" s="347"/>
      <c r="J82" s="347"/>
      <c r="K82" s="340"/>
    </row>
    <row r="83" spans="2:11" ht="28.8" x14ac:dyDescent="0.3">
      <c r="B83" s="364" t="s">
        <v>452</v>
      </c>
      <c r="C83" s="367" t="s">
        <v>463</v>
      </c>
      <c r="D83" s="323" t="s">
        <v>317</v>
      </c>
      <c r="E83" s="323" t="s">
        <v>319</v>
      </c>
      <c r="F83" s="323" t="s">
        <v>409</v>
      </c>
      <c r="G83" s="323" t="s">
        <v>444</v>
      </c>
      <c r="H83" s="323" t="s">
        <v>467</v>
      </c>
      <c r="I83" s="323" t="s">
        <v>468</v>
      </c>
      <c r="J83" s="323">
        <v>2021</v>
      </c>
      <c r="K83" s="362"/>
    </row>
    <row r="84" spans="2:11" x14ac:dyDescent="0.3">
      <c r="B84" s="332" t="s">
        <v>269</v>
      </c>
      <c r="C84" s="321" t="s">
        <v>459</v>
      </c>
      <c r="D84" s="359">
        <v>3446.5788940000002</v>
      </c>
      <c r="E84" s="360">
        <v>5652.4070730000003</v>
      </c>
      <c r="F84" s="359">
        <v>8533.2410319999999</v>
      </c>
      <c r="G84" s="360">
        <v>3819.4063289999999</v>
      </c>
      <c r="H84" s="359">
        <v>6839.2956240000003</v>
      </c>
      <c r="I84" s="360">
        <v>10294.869287</v>
      </c>
      <c r="J84" s="398">
        <v>16369.622267999999</v>
      </c>
      <c r="K84" s="362"/>
    </row>
    <row r="85" spans="2:11" x14ac:dyDescent="0.3">
      <c r="B85" s="333" t="s">
        <v>438</v>
      </c>
      <c r="C85" s="373" t="s">
        <v>418</v>
      </c>
      <c r="D85" s="343">
        <v>0</v>
      </c>
      <c r="E85" s="344">
        <v>0</v>
      </c>
      <c r="F85" s="343">
        <v>0</v>
      </c>
      <c r="G85" s="344">
        <v>0</v>
      </c>
      <c r="H85" s="343">
        <v>0</v>
      </c>
      <c r="I85" s="344">
        <v>0</v>
      </c>
      <c r="J85" s="400">
        <v>0</v>
      </c>
      <c r="K85" s="362"/>
    </row>
    <row r="86" spans="2:11" x14ac:dyDescent="0.3">
      <c r="B86" s="333" t="s">
        <v>169</v>
      </c>
      <c r="C86" s="373" t="s">
        <v>455</v>
      </c>
      <c r="D86" s="343">
        <v>-3310.1555400000002</v>
      </c>
      <c r="E86" s="344">
        <v>-5524.5504659999997</v>
      </c>
      <c r="F86" s="343">
        <v>-8219.1203619999997</v>
      </c>
      <c r="G86" s="344">
        <v>-3560.556321</v>
      </c>
      <c r="H86" s="343">
        <v>-6347.0310810000001</v>
      </c>
      <c r="I86" s="344">
        <v>-9335.2896970000002</v>
      </c>
      <c r="J86" s="400">
        <v>-14690.036787999999</v>
      </c>
      <c r="K86" s="362"/>
    </row>
    <row r="87" spans="2:11" x14ac:dyDescent="0.3">
      <c r="B87" s="333" t="s">
        <v>143</v>
      </c>
      <c r="C87" s="373" t="s">
        <v>457</v>
      </c>
      <c r="D87" s="343">
        <v>-24.565386</v>
      </c>
      <c r="E87" s="344">
        <v>-49.268940000000001</v>
      </c>
      <c r="F87" s="343">
        <v>-74.319208000000003</v>
      </c>
      <c r="G87" s="344">
        <v>-23.102269</v>
      </c>
      <c r="H87" s="343">
        <v>-57.071241000000001</v>
      </c>
      <c r="I87" s="344">
        <v>-86.466801000000004</v>
      </c>
      <c r="J87" s="400">
        <v>-113.629874</v>
      </c>
      <c r="K87" s="362"/>
    </row>
    <row r="88" spans="2:11" ht="15" thickBot="1" x14ac:dyDescent="0.35">
      <c r="B88" s="333" t="s">
        <v>400</v>
      </c>
      <c r="C88" s="373" t="s">
        <v>456</v>
      </c>
      <c r="D88" s="343">
        <v>-0.87495999999999996</v>
      </c>
      <c r="E88" s="344">
        <v>28.220193999999999</v>
      </c>
      <c r="F88" s="343">
        <v>50.075854999999997</v>
      </c>
      <c r="G88" s="344">
        <v>20.820058</v>
      </c>
      <c r="H88" s="343">
        <v>23.594391000000002</v>
      </c>
      <c r="I88" s="344">
        <v>-13.341226000000001</v>
      </c>
      <c r="J88" s="400">
        <v>-154.35771099999999</v>
      </c>
      <c r="K88" s="362"/>
    </row>
    <row r="89" spans="2:11" ht="15" thickTop="1" x14ac:dyDescent="0.3">
      <c r="B89" s="334" t="s">
        <v>139</v>
      </c>
      <c r="C89" s="320" t="s">
        <v>139</v>
      </c>
      <c r="D89" s="353">
        <v>110.98300800000001</v>
      </c>
      <c r="E89" s="354">
        <v>106.80786100000063</v>
      </c>
      <c r="F89" s="353">
        <v>289.87731700000023</v>
      </c>
      <c r="G89" s="354">
        <v>256.56779699999987</v>
      </c>
      <c r="H89" s="353">
        <v>458.78769300000022</v>
      </c>
      <c r="I89" s="354">
        <v>859.77156299999933</v>
      </c>
      <c r="J89" s="399">
        <v>1411.5978949999999</v>
      </c>
      <c r="K89" s="362"/>
    </row>
    <row r="90" spans="2:11" ht="15" thickBot="1" x14ac:dyDescent="0.35">
      <c r="B90" s="333" t="s">
        <v>445</v>
      </c>
      <c r="C90" s="368" t="s">
        <v>458</v>
      </c>
      <c r="D90" s="355">
        <v>-29.784254693310583</v>
      </c>
      <c r="E90" s="356">
        <v>-61.762972540816776</v>
      </c>
      <c r="F90" s="355">
        <v>-91.848638435727452</v>
      </c>
      <c r="G90" s="356">
        <v>-32.585683672449562</v>
      </c>
      <c r="H90" s="355">
        <v>-68.389103756082392</v>
      </c>
      <c r="I90" s="356">
        <v>-96.541944676630592</v>
      </c>
      <c r="J90" s="400">
        <v>-133.31568106108409</v>
      </c>
      <c r="K90" s="362"/>
    </row>
    <row r="91" spans="2:11" ht="15" thickTop="1" x14ac:dyDescent="0.3">
      <c r="B91" s="334" t="s">
        <v>446</v>
      </c>
      <c r="C91" s="320" t="s">
        <v>446</v>
      </c>
      <c r="D91" s="353">
        <v>81.198753306689426</v>
      </c>
      <c r="E91" s="354">
        <v>45.044888459183852</v>
      </c>
      <c r="F91" s="353">
        <v>198.02867856427278</v>
      </c>
      <c r="G91" s="354">
        <v>223.98211332755031</v>
      </c>
      <c r="H91" s="353">
        <v>390.39858924391785</v>
      </c>
      <c r="I91" s="354">
        <v>763.22961832336875</v>
      </c>
      <c r="J91" s="397">
        <v>1278.2822139389159</v>
      </c>
      <c r="K91" s="362"/>
    </row>
    <row r="92" spans="2:11" ht="15" thickBot="1" x14ac:dyDescent="0.35">
      <c r="B92" s="335"/>
      <c r="C92" s="336"/>
      <c r="D92" s="348"/>
      <c r="E92" s="348"/>
      <c r="F92" s="348"/>
      <c r="G92" s="348"/>
      <c r="H92" s="348"/>
      <c r="I92" s="348"/>
      <c r="J92" s="348"/>
      <c r="K92" s="337"/>
    </row>
    <row r="93" spans="2:11" x14ac:dyDescent="0.3">
      <c r="D93" s="315"/>
      <c r="E93" s="315"/>
      <c r="F93" s="315"/>
      <c r="G93" s="315"/>
      <c r="H93" s="315"/>
      <c r="I93" s="315"/>
      <c r="J93" s="315"/>
    </row>
    <row r="94" spans="2:11" ht="15" thickBot="1" x14ac:dyDescent="0.35">
      <c r="B94" s="191"/>
      <c r="C94" s="191"/>
      <c r="D94" s="315"/>
      <c r="E94" s="315"/>
      <c r="F94" s="315"/>
      <c r="G94" s="315"/>
      <c r="H94" s="315"/>
      <c r="I94" s="315"/>
      <c r="J94" s="315"/>
    </row>
    <row r="95" spans="2:11" ht="20.55" customHeight="1" x14ac:dyDescent="0.3">
      <c r="B95" s="322" t="s">
        <v>453</v>
      </c>
      <c r="C95" s="367" t="s">
        <v>464</v>
      </c>
      <c r="D95" s="323">
        <v>2016</v>
      </c>
      <c r="E95" s="323">
        <v>2017</v>
      </c>
      <c r="F95" s="323">
        <v>2018</v>
      </c>
      <c r="G95" s="323">
        <v>2019</v>
      </c>
      <c r="H95" s="323" t="s">
        <v>317</v>
      </c>
      <c r="I95" s="323" t="s">
        <v>319</v>
      </c>
      <c r="J95" s="323" t="s">
        <v>409</v>
      </c>
      <c r="K95" s="324">
        <v>2020</v>
      </c>
    </row>
    <row r="96" spans="2:11" hidden="1" outlineLevel="1" x14ac:dyDescent="0.3">
      <c r="B96" s="325" t="s">
        <v>398</v>
      </c>
      <c r="C96" s="317" t="s">
        <v>323</v>
      </c>
      <c r="D96" s="343">
        <f>G154</f>
        <v>729.72434799999996</v>
      </c>
      <c r="E96" s="365">
        <f>F154</f>
        <v>346</v>
      </c>
      <c r="F96" s="343">
        <v>221.477</v>
      </c>
      <c r="G96" s="344">
        <v>6.9320000000000004</v>
      </c>
      <c r="H96" s="343"/>
      <c r="I96" s="344"/>
      <c r="J96" s="343"/>
      <c r="K96" s="326"/>
    </row>
    <row r="97" spans="2:11" hidden="1" outlineLevel="1" x14ac:dyDescent="0.3">
      <c r="B97" s="325" t="s">
        <v>399</v>
      </c>
      <c r="C97" s="317"/>
      <c r="D97" s="343"/>
      <c r="E97" s="365"/>
      <c r="F97" s="343">
        <v>125.48699999999999</v>
      </c>
      <c r="G97" s="344">
        <v>409.13400000000001</v>
      </c>
      <c r="H97" s="343"/>
      <c r="I97" s="344"/>
      <c r="J97" s="343"/>
      <c r="K97" s="326"/>
    </row>
    <row r="98" spans="2:11" collapsed="1" x14ac:dyDescent="0.3">
      <c r="B98" s="327" t="s">
        <v>269</v>
      </c>
      <c r="C98" s="321" t="s">
        <v>459</v>
      </c>
      <c r="D98" s="341">
        <f t="shared" ref="D98" si="21">+D96+D97</f>
        <v>729.72434799999996</v>
      </c>
      <c r="E98" s="366">
        <f t="shared" ref="E98" si="22">+E96+E97</f>
        <v>346</v>
      </c>
      <c r="F98" s="341">
        <f>+F96+F97</f>
        <v>346.964</v>
      </c>
      <c r="G98" s="342">
        <f>+G96+G97</f>
        <v>416.06600000000003</v>
      </c>
      <c r="H98" s="341">
        <v>110.49514000000001</v>
      </c>
      <c r="I98" s="342">
        <v>221.013226</v>
      </c>
      <c r="J98" s="341">
        <v>333.48622399999999</v>
      </c>
      <c r="K98" s="361">
        <v>455.00343099999998</v>
      </c>
    </row>
    <row r="99" spans="2:11" x14ac:dyDescent="0.3">
      <c r="B99" s="325" t="s">
        <v>169</v>
      </c>
      <c r="C99" s="373" t="s">
        <v>455</v>
      </c>
      <c r="D99" s="343"/>
      <c r="E99" s="365"/>
      <c r="F99" s="343">
        <v>-545.43949399999997</v>
      </c>
      <c r="G99" s="344">
        <v>-562.53912200000002</v>
      </c>
      <c r="H99" s="343">
        <v>-133.44007199999999</v>
      </c>
      <c r="I99" s="344">
        <v>-266.31390399999998</v>
      </c>
      <c r="J99" s="343">
        <v>-410.08936499999999</v>
      </c>
      <c r="K99" s="362">
        <v>-614.62636399999997</v>
      </c>
    </row>
    <row r="100" spans="2:11" x14ac:dyDescent="0.3">
      <c r="B100" s="325" t="s">
        <v>143</v>
      </c>
      <c r="C100" s="373" t="s">
        <v>457</v>
      </c>
      <c r="D100" s="343"/>
      <c r="E100" s="365"/>
      <c r="F100" s="343">
        <v>-800.27737200000001</v>
      </c>
      <c r="G100" s="344">
        <v>-833.96138099999996</v>
      </c>
      <c r="H100" s="343">
        <v>-188.444489</v>
      </c>
      <c r="I100" s="344">
        <v>-389.40213799999998</v>
      </c>
      <c r="J100" s="343">
        <v>-590.78126699999996</v>
      </c>
      <c r="K100" s="362">
        <v>-954.87623699999995</v>
      </c>
    </row>
    <row r="101" spans="2:11" x14ac:dyDescent="0.3">
      <c r="B101" s="325" t="s">
        <v>400</v>
      </c>
      <c r="C101" s="373" t="s">
        <v>456</v>
      </c>
      <c r="D101" s="343"/>
      <c r="E101" s="365"/>
      <c r="F101" s="343">
        <v>-10.379951</v>
      </c>
      <c r="G101" s="344">
        <v>-10.551583000000001</v>
      </c>
      <c r="H101" s="343">
        <v>-4.3826599999999996</v>
      </c>
      <c r="I101" s="344">
        <v>-0.286798</v>
      </c>
      <c r="J101" s="343">
        <v>-1.431473</v>
      </c>
      <c r="K101" s="362">
        <v>-7.5942430000000005</v>
      </c>
    </row>
    <row r="102" spans="2:11" ht="15" thickBot="1" x14ac:dyDescent="0.35">
      <c r="B102" s="327" t="s">
        <v>270</v>
      </c>
      <c r="C102" s="374" t="s">
        <v>460</v>
      </c>
      <c r="D102" s="341">
        <f>G161</f>
        <v>-1614.6495629999999</v>
      </c>
      <c r="E102" s="366">
        <f>F161</f>
        <v>-1079</v>
      </c>
      <c r="F102" s="341">
        <f>E161</f>
        <v>-1355</v>
      </c>
      <c r="G102" s="342">
        <f>D161</f>
        <v>-1407.0520859999999</v>
      </c>
      <c r="H102" s="341">
        <f t="shared" ref="H102" si="23">SUM(H99:H101)</f>
        <v>-326.26722099999995</v>
      </c>
      <c r="I102" s="342">
        <f t="shared" ref="I102" si="24">SUM(I99:I101)</f>
        <v>-656.00283999999999</v>
      </c>
      <c r="J102" s="341">
        <f>SUM(J99:J101)</f>
        <v>-1002.3021049999999</v>
      </c>
      <c r="K102" s="361">
        <v>19.659490000000002</v>
      </c>
    </row>
    <row r="103" spans="2:11" ht="15" thickBot="1" x14ac:dyDescent="0.35">
      <c r="B103" s="330" t="s">
        <v>139</v>
      </c>
      <c r="C103" s="192" t="s">
        <v>139</v>
      </c>
      <c r="D103" s="345">
        <f>G168</f>
        <v>-884.92521499999998</v>
      </c>
      <c r="E103" s="352">
        <f>F168</f>
        <v>-733</v>
      </c>
      <c r="F103" s="345">
        <f>E168</f>
        <v>-1008.037</v>
      </c>
      <c r="G103" s="346">
        <f>D168</f>
        <v>-990.98664500000007</v>
      </c>
      <c r="H103" s="345">
        <f t="shared" ref="H103" si="25">+H98+H102</f>
        <v>-215.77208099999996</v>
      </c>
      <c r="I103" s="346">
        <f t="shared" ref="I103" si="26">+I98+I102</f>
        <v>-434.98961399999996</v>
      </c>
      <c r="J103" s="345">
        <f>+J98+J102</f>
        <v>-668.81588099999988</v>
      </c>
      <c r="K103" s="363">
        <v>-1102.433923</v>
      </c>
    </row>
    <row r="104" spans="2:11" x14ac:dyDescent="0.3">
      <c r="B104" s="325"/>
      <c r="C104" s="317"/>
      <c r="D104" s="357"/>
      <c r="E104" s="357"/>
      <c r="F104" s="357"/>
      <c r="G104" s="357"/>
      <c r="H104" s="357"/>
      <c r="I104" s="357"/>
      <c r="J104" s="357"/>
      <c r="K104" s="326"/>
    </row>
    <row r="105" spans="2:11" ht="15" thickBot="1" x14ac:dyDescent="0.35">
      <c r="B105" s="338" t="s">
        <v>448</v>
      </c>
      <c r="C105" s="339"/>
      <c r="D105" s="347"/>
      <c r="E105" s="347"/>
      <c r="F105" s="347"/>
      <c r="G105" s="347"/>
      <c r="H105" s="347"/>
      <c r="I105" s="347"/>
      <c r="J105" s="347"/>
      <c r="K105" s="340"/>
    </row>
    <row r="106" spans="2:11" x14ac:dyDescent="0.3">
      <c r="B106" s="322" t="s">
        <v>453</v>
      </c>
      <c r="C106" s="367" t="s">
        <v>464</v>
      </c>
      <c r="D106" s="323" t="s">
        <v>317</v>
      </c>
      <c r="E106" s="323" t="s">
        <v>319</v>
      </c>
      <c r="F106" s="323" t="s">
        <v>409</v>
      </c>
      <c r="G106" s="323" t="s">
        <v>444</v>
      </c>
      <c r="H106" s="323" t="s">
        <v>467</v>
      </c>
      <c r="I106" s="323" t="s">
        <v>468</v>
      </c>
      <c r="J106" s="323">
        <v>2021</v>
      </c>
      <c r="K106" s="324"/>
    </row>
    <row r="107" spans="2:11" x14ac:dyDescent="0.3">
      <c r="B107" s="332" t="s">
        <v>269</v>
      </c>
      <c r="C107" s="321" t="s">
        <v>459</v>
      </c>
      <c r="D107" s="359">
        <v>0</v>
      </c>
      <c r="E107" s="360">
        <v>0</v>
      </c>
      <c r="F107" s="359">
        <v>0</v>
      </c>
      <c r="G107" s="360">
        <v>8.7379999999999999E-2</v>
      </c>
      <c r="H107" s="359">
        <v>0.13664000000000001</v>
      </c>
      <c r="I107" s="360">
        <v>0.59774499999999997</v>
      </c>
      <c r="J107" s="359">
        <v>0</v>
      </c>
      <c r="K107" s="402"/>
    </row>
    <row r="108" spans="2:11" x14ac:dyDescent="0.3">
      <c r="B108" s="333" t="s">
        <v>438</v>
      </c>
      <c r="C108" s="373" t="s">
        <v>418</v>
      </c>
      <c r="D108" s="343">
        <v>8.0345E-2</v>
      </c>
      <c r="E108" s="344">
        <v>9.4635999999999998E-2</v>
      </c>
      <c r="F108" s="343">
        <v>0.20433699999999999</v>
      </c>
      <c r="G108" s="344">
        <v>0</v>
      </c>
      <c r="H108" s="343">
        <v>0</v>
      </c>
      <c r="I108" s="344">
        <v>0</v>
      </c>
      <c r="J108" s="343">
        <v>0</v>
      </c>
      <c r="K108" s="403"/>
    </row>
    <row r="109" spans="2:11" x14ac:dyDescent="0.3">
      <c r="B109" s="333" t="s">
        <v>169</v>
      </c>
      <c r="C109" s="373" t="s">
        <v>455</v>
      </c>
      <c r="D109" s="343">
        <v>-25.300370000000001</v>
      </c>
      <c r="E109" s="344">
        <v>-62.529226999999999</v>
      </c>
      <c r="F109" s="343">
        <v>-118.35395800000001</v>
      </c>
      <c r="G109" s="344">
        <v>-33.761374000000004</v>
      </c>
      <c r="H109" s="343">
        <v>-126.17509800000001</v>
      </c>
      <c r="I109" s="344">
        <v>-159.62473800000001</v>
      </c>
      <c r="J109" s="343">
        <v>-261.00446799999997</v>
      </c>
      <c r="K109" s="403"/>
    </row>
    <row r="110" spans="2:11" x14ac:dyDescent="0.3">
      <c r="B110" s="333" t="s">
        <v>143</v>
      </c>
      <c r="C110" s="373" t="s">
        <v>457</v>
      </c>
      <c r="D110" s="343">
        <v>-89.943265999999994</v>
      </c>
      <c r="E110" s="344">
        <v>-179.213572</v>
      </c>
      <c r="F110" s="343">
        <v>-270.11604</v>
      </c>
      <c r="G110" s="344">
        <v>-147.425422</v>
      </c>
      <c r="H110" s="343">
        <v>-338.44372299999998</v>
      </c>
      <c r="I110" s="344">
        <v>-450.83674600000001</v>
      </c>
      <c r="J110" s="343">
        <v>-698.94786199999987</v>
      </c>
      <c r="K110" s="403"/>
    </row>
    <row r="111" spans="2:11" ht="15" thickBot="1" x14ac:dyDescent="0.35">
      <c r="B111" s="333" t="s">
        <v>400</v>
      </c>
      <c r="C111" s="373" t="s">
        <v>456</v>
      </c>
      <c r="D111" s="343">
        <v>-3.9584139999999999</v>
      </c>
      <c r="E111" s="344">
        <v>0.24455999999999989</v>
      </c>
      <c r="F111" s="343">
        <v>7.6106660000000002</v>
      </c>
      <c r="G111" s="344">
        <v>-1.047515</v>
      </c>
      <c r="H111" s="343">
        <v>-1.378093</v>
      </c>
      <c r="I111" s="344">
        <v>-0.85038199999999997</v>
      </c>
      <c r="J111" s="343">
        <v>4</v>
      </c>
      <c r="K111" s="403"/>
    </row>
    <row r="112" spans="2:11" ht="15" thickTop="1" x14ac:dyDescent="0.3">
      <c r="B112" s="334" t="s">
        <v>139</v>
      </c>
      <c r="C112" s="320" t="s">
        <v>139</v>
      </c>
      <c r="D112" s="353">
        <v>-119.12170499999999</v>
      </c>
      <c r="E112" s="354">
        <v>-241.403603</v>
      </c>
      <c r="F112" s="353">
        <v>-380.65499500000004</v>
      </c>
      <c r="G112" s="354">
        <v>-182.146931</v>
      </c>
      <c r="H112" s="353">
        <v>-465.86027399999995</v>
      </c>
      <c r="I112" s="354">
        <v>-610.71412099999998</v>
      </c>
      <c r="J112" s="353">
        <v>-956.44179199999996</v>
      </c>
      <c r="K112" s="404"/>
    </row>
    <row r="113" spans="2:11" ht="15" thickBot="1" x14ac:dyDescent="0.35">
      <c r="B113" s="335"/>
      <c r="C113" s="335"/>
      <c r="D113" s="348"/>
      <c r="E113" s="348"/>
      <c r="F113" s="348"/>
      <c r="G113" s="348"/>
      <c r="H113" s="348"/>
      <c r="I113" s="348"/>
      <c r="J113" s="348"/>
      <c r="K113" s="337"/>
    </row>
    <row r="114" spans="2:11" x14ac:dyDescent="0.3">
      <c r="D114" s="315"/>
      <c r="E114" s="315"/>
      <c r="F114" s="315"/>
      <c r="G114" s="315"/>
      <c r="H114" s="315"/>
      <c r="I114" s="315"/>
      <c r="J114" s="315"/>
    </row>
    <row r="115" spans="2:11" x14ac:dyDescent="0.3">
      <c r="B115" s="191" t="s">
        <v>325</v>
      </c>
      <c r="C115" s="191" t="s">
        <v>326</v>
      </c>
      <c r="D115" s="315"/>
      <c r="E115" s="315"/>
      <c r="F115" s="315"/>
      <c r="G115" s="315"/>
      <c r="H115" s="315"/>
      <c r="I115" s="315"/>
      <c r="J115" s="315"/>
    </row>
    <row r="116" spans="2:11" x14ac:dyDescent="0.3">
      <c r="B116" s="153" t="s">
        <v>330</v>
      </c>
      <c r="C116" s="153" t="s">
        <v>333</v>
      </c>
      <c r="D116" s="195">
        <v>2016</v>
      </c>
      <c r="E116" s="195">
        <v>2017</v>
      </c>
      <c r="F116" s="195">
        <v>2018</v>
      </c>
      <c r="G116" s="195">
        <v>2019</v>
      </c>
      <c r="H116" s="195" t="s">
        <v>317</v>
      </c>
      <c r="I116" s="195" t="s">
        <v>319</v>
      </c>
      <c r="J116" s="195" t="s">
        <v>409</v>
      </c>
    </row>
    <row r="117" spans="2:11" x14ac:dyDescent="0.3">
      <c r="B117" t="s">
        <v>269</v>
      </c>
      <c r="C117" t="s">
        <v>323</v>
      </c>
      <c r="D117" s="349">
        <f>D96+D73+D50+D27+D3</f>
        <v>17025.288221000003</v>
      </c>
      <c r="E117" s="351">
        <f>E96+E73+E50+E27+E3</f>
        <v>22078.512969000003</v>
      </c>
      <c r="F117" s="349">
        <f>F96+F73+F50+F27+F3</f>
        <v>18685.767</v>
      </c>
      <c r="G117" s="350">
        <f>G96+G73+G50+G27+G3</f>
        <v>25573.35</v>
      </c>
      <c r="H117" s="349">
        <f>H98+H75+H52+H29+H5</f>
        <v>11053.883452999999</v>
      </c>
      <c r="I117" s="350">
        <f>I98+I75+I52+I29+I5</f>
        <v>20360.448164000001</v>
      </c>
      <c r="J117" s="349">
        <f>J98+J75+J52+J29+J5</f>
        <v>29438.560029</v>
      </c>
    </row>
    <row r="118" spans="2:11" ht="15" thickBot="1" x14ac:dyDescent="0.35">
      <c r="B118" t="s">
        <v>270</v>
      </c>
      <c r="C118" t="s">
        <v>324</v>
      </c>
      <c r="D118" s="349">
        <f t="shared" ref="D118:J119" si="27">D102+D79+D56+D33+D9</f>
        <v>-14711.677142000002</v>
      </c>
      <c r="E118" s="351">
        <f t="shared" si="27"/>
        <v>-20114</v>
      </c>
      <c r="F118" s="349">
        <f t="shared" si="27"/>
        <v>-23687.872239</v>
      </c>
      <c r="G118" s="350">
        <f t="shared" si="27"/>
        <v>-29377.143448000003</v>
      </c>
      <c r="H118" s="349">
        <f t="shared" si="27"/>
        <v>-9893.9791089999999</v>
      </c>
      <c r="I118" s="350">
        <f t="shared" si="27"/>
        <v>-17223.145741</v>
      </c>
      <c r="J118" s="349">
        <f t="shared" si="27"/>
        <v>-25010.629764000001</v>
      </c>
    </row>
    <row r="119" spans="2:11" ht="15" thickBot="1" x14ac:dyDescent="0.35">
      <c r="B119" s="192" t="s">
        <v>139</v>
      </c>
      <c r="C119" s="192" t="s">
        <v>139</v>
      </c>
      <c r="D119" s="345">
        <f t="shared" si="27"/>
        <v>2313.6110789999975</v>
      </c>
      <c r="E119" s="352">
        <f t="shared" si="27"/>
        <v>1964.5129690000003</v>
      </c>
      <c r="F119" s="345">
        <f t="shared" si="27"/>
        <v>2041.6869999999985</v>
      </c>
      <c r="G119" s="346">
        <f t="shared" si="27"/>
        <v>4559.4371830000018</v>
      </c>
      <c r="H119" s="345">
        <f t="shared" si="27"/>
        <v>1159.904344</v>
      </c>
      <c r="I119" s="352">
        <f t="shared" si="27"/>
        <v>3137.302423000001</v>
      </c>
      <c r="J119" s="345">
        <f t="shared" si="27"/>
        <v>4427.9302649999991</v>
      </c>
    </row>
    <row r="120" spans="2:11" x14ac:dyDescent="0.3">
      <c r="D120" s="315"/>
      <c r="E120" s="315"/>
      <c r="F120" s="315"/>
      <c r="G120" s="315"/>
      <c r="H120" s="315"/>
      <c r="I120" s="315"/>
      <c r="J120" s="315"/>
    </row>
    <row r="121" spans="2:11" x14ac:dyDescent="0.3">
      <c r="D121" s="315"/>
      <c r="E121" s="315"/>
      <c r="F121" s="315"/>
      <c r="G121" s="315"/>
      <c r="H121" s="315"/>
      <c r="I121" s="315"/>
      <c r="J121" s="315"/>
    </row>
    <row r="122" spans="2:11" x14ac:dyDescent="0.3">
      <c r="B122" s="191" t="s">
        <v>325</v>
      </c>
      <c r="C122" s="191" t="s">
        <v>326</v>
      </c>
      <c r="D122" s="315"/>
      <c r="E122" s="315"/>
      <c r="F122" s="315"/>
      <c r="G122" s="315"/>
      <c r="H122" s="315"/>
      <c r="I122" s="315"/>
      <c r="J122" s="315"/>
    </row>
    <row r="123" spans="2:11" x14ac:dyDescent="0.3">
      <c r="B123" s="153" t="s">
        <v>331</v>
      </c>
      <c r="C123" s="153" t="s">
        <v>332</v>
      </c>
      <c r="D123" s="195">
        <v>2016</v>
      </c>
      <c r="E123" s="195">
        <v>2017</v>
      </c>
      <c r="F123" s="195">
        <v>2018</v>
      </c>
      <c r="G123" s="195">
        <v>2019</v>
      </c>
      <c r="H123" s="195" t="s">
        <v>317</v>
      </c>
      <c r="I123" s="195" t="s">
        <v>319</v>
      </c>
      <c r="J123" s="195" t="s">
        <v>409</v>
      </c>
    </row>
    <row r="124" spans="2:11" x14ac:dyDescent="0.3">
      <c r="B124" t="s">
        <v>269</v>
      </c>
      <c r="C124" t="s">
        <v>323</v>
      </c>
      <c r="D124" s="349">
        <f>D117+G155</f>
        <v>13948.218707000004</v>
      </c>
      <c r="E124" s="351">
        <f>E117+F155</f>
        <v>18388.512969000003</v>
      </c>
      <c r="F124" s="349">
        <f>F117+E155</f>
        <v>11641.846999999998</v>
      </c>
      <c r="G124" s="350">
        <f>G117+D155</f>
        <v>17210.119619999998</v>
      </c>
      <c r="H124" s="349"/>
      <c r="I124" s="350"/>
      <c r="J124" s="349"/>
    </row>
    <row r="125" spans="2:11" ht="15" thickBot="1" x14ac:dyDescent="0.35">
      <c r="B125" t="s">
        <v>270</v>
      </c>
      <c r="C125" t="s">
        <v>324</v>
      </c>
      <c r="D125" s="349">
        <f>D118+G162</f>
        <v>-11634.632559000001</v>
      </c>
      <c r="E125" s="351">
        <f>E118+F162</f>
        <v>-16437</v>
      </c>
      <c r="F125" s="349">
        <f>F118+E162</f>
        <v>-16884.952238999998</v>
      </c>
      <c r="G125" s="350">
        <f>G118+D162</f>
        <v>-21794.169355000005</v>
      </c>
      <c r="H125" s="349"/>
      <c r="I125" s="350"/>
      <c r="J125" s="349"/>
    </row>
    <row r="126" spans="2:11" ht="15" thickBot="1" x14ac:dyDescent="0.35">
      <c r="B126" s="192" t="s">
        <v>139</v>
      </c>
      <c r="C126" s="192" t="s">
        <v>139</v>
      </c>
      <c r="D126" s="345">
        <f>D119+G169</f>
        <v>2313.586147999998</v>
      </c>
      <c r="E126" s="352">
        <f>E119+F169</f>
        <v>1951.5129690000003</v>
      </c>
      <c r="F126" s="345">
        <f>F119+E169</f>
        <v>1800.6869999999985</v>
      </c>
      <c r="G126" s="346">
        <f>G119+D169</f>
        <v>3779.1808960000008</v>
      </c>
      <c r="H126" s="345"/>
      <c r="I126" s="352"/>
      <c r="J126" s="345"/>
    </row>
    <row r="129" spans="2:11" ht="15" thickBot="1" x14ac:dyDescent="0.35"/>
    <row r="130" spans="2:11" ht="58.2" thickBot="1" x14ac:dyDescent="0.35">
      <c r="B130" s="295" t="s">
        <v>442</v>
      </c>
      <c r="D130" s="296" t="s">
        <v>430</v>
      </c>
      <c r="E130" s="297" t="s">
        <v>431</v>
      </c>
      <c r="F130" s="296" t="s">
        <v>432</v>
      </c>
      <c r="G130" s="296" t="s">
        <v>433</v>
      </c>
      <c r="H130" s="296" t="s">
        <v>267</v>
      </c>
      <c r="I130" s="296" t="s">
        <v>434</v>
      </c>
      <c r="J130" s="296" t="s">
        <v>354</v>
      </c>
    </row>
    <row r="131" spans="2:11" x14ac:dyDescent="0.3">
      <c r="B131" s="298" t="s">
        <v>269</v>
      </c>
      <c r="D131" s="299">
        <v>14179.346353000001</v>
      </c>
      <c r="E131" s="299">
        <v>3584.9936440000001</v>
      </c>
      <c r="F131" s="299">
        <v>10746.656838999999</v>
      </c>
      <c r="G131" s="299">
        <v>11997.630348999999</v>
      </c>
      <c r="H131" s="299">
        <v>455.00343099999998</v>
      </c>
      <c r="I131" s="299">
        <v>-7982.3292099999999</v>
      </c>
      <c r="J131" s="300">
        <v>32981.301406000006</v>
      </c>
    </row>
    <row r="132" spans="2:11" x14ac:dyDescent="0.3">
      <c r="B132" s="301" t="s">
        <v>169</v>
      </c>
      <c r="D132" s="302">
        <v>-9965.8493450000005</v>
      </c>
      <c r="E132" s="302">
        <v>-669.37559699999997</v>
      </c>
      <c r="F132" s="302">
        <v>-7808.7500980000004</v>
      </c>
      <c r="G132" s="302">
        <v>-11616.009585</v>
      </c>
      <c r="H132" s="302">
        <v>-614.62636399999997</v>
      </c>
      <c r="I132" s="302">
        <v>7602.1814219999997</v>
      </c>
      <c r="J132" s="303">
        <v>-23072.429567000003</v>
      </c>
    </row>
    <row r="133" spans="2:11" x14ac:dyDescent="0.3">
      <c r="B133" s="301" t="s">
        <v>143</v>
      </c>
      <c r="D133" s="302">
        <v>-268.81010700000002</v>
      </c>
      <c r="E133" s="302">
        <v>-0.05</v>
      </c>
      <c r="F133" s="302">
        <v>-2445.5793829999998</v>
      </c>
      <c r="G133" s="302">
        <v>-100.72804099999999</v>
      </c>
      <c r="H133" s="302">
        <v>-954.87623699999995</v>
      </c>
      <c r="I133" s="302">
        <v>3.9919999999824497E-3</v>
      </c>
      <c r="J133" s="303">
        <v>-3770.0397760000001</v>
      </c>
    </row>
    <row r="134" spans="2:11" x14ac:dyDescent="0.3">
      <c r="B134" s="301" t="s">
        <v>435</v>
      </c>
      <c r="D134" s="302">
        <v>-1072.0747389999999</v>
      </c>
      <c r="E134" s="302">
        <v>39.092208999999997</v>
      </c>
      <c r="F134" s="302">
        <v>-94.563053999999994</v>
      </c>
      <c r="G134" s="302">
        <v>4.7089590000000001</v>
      </c>
      <c r="H134" s="302">
        <v>-7.5942430000000005</v>
      </c>
      <c r="I134" s="302">
        <v>-8.5356749999999995</v>
      </c>
      <c r="J134" s="303">
        <v>-1138.9665429999998</v>
      </c>
      <c r="K134" s="302"/>
    </row>
    <row r="135" spans="2:11" ht="15" thickBot="1" x14ac:dyDescent="0.35">
      <c r="B135" s="301" t="s">
        <v>436</v>
      </c>
      <c r="D135" s="302">
        <v>60.413164999999999</v>
      </c>
      <c r="E135" s="302">
        <v>0</v>
      </c>
      <c r="F135" s="302">
        <v>43.137740999999998</v>
      </c>
      <c r="G135" s="302">
        <v>0</v>
      </c>
      <c r="H135" s="302">
        <v>19.659490000000002</v>
      </c>
      <c r="I135" s="302">
        <v>389.01557700000001</v>
      </c>
      <c r="J135" s="303">
        <v>512.22597299999995</v>
      </c>
    </row>
    <row r="136" spans="2:11" ht="15" thickTop="1" x14ac:dyDescent="0.3">
      <c r="B136" s="304" t="s">
        <v>437</v>
      </c>
      <c r="D136" s="305">
        <v>2933.0253269999994</v>
      </c>
      <c r="E136" s="305">
        <v>2954.6602560000001</v>
      </c>
      <c r="F136" s="305">
        <v>440.90204499999953</v>
      </c>
      <c r="G136" s="305">
        <v>285.60168200000044</v>
      </c>
      <c r="H136" s="305">
        <v>-1102.433923</v>
      </c>
      <c r="I136" s="305">
        <v>0.33610599999933038</v>
      </c>
      <c r="J136" s="306">
        <v>5512.0914930000017</v>
      </c>
    </row>
    <row r="137" spans="2:11" x14ac:dyDescent="0.3">
      <c r="B137" s="307"/>
      <c r="D137" s="308"/>
      <c r="E137" s="308">
        <v>1000</v>
      </c>
      <c r="F137" s="308"/>
      <c r="G137" s="308"/>
      <c r="H137" s="308"/>
      <c r="I137" s="308"/>
      <c r="J137" s="308"/>
    </row>
    <row r="138" spans="2:11" ht="15" thickBot="1" x14ac:dyDescent="0.35">
      <c r="B138" s="307"/>
      <c r="D138" s="308"/>
      <c r="E138" s="308"/>
      <c r="F138" s="308"/>
      <c r="G138" s="308"/>
      <c r="H138" s="308"/>
      <c r="I138" s="308"/>
      <c r="J138" s="308"/>
    </row>
    <row r="139" spans="2:11" ht="72.599999999999994" thickBot="1" x14ac:dyDescent="0.35">
      <c r="B139" s="295" t="s">
        <v>443</v>
      </c>
      <c r="D139" s="309" t="s">
        <v>430</v>
      </c>
      <c r="E139" s="310" t="s">
        <v>431</v>
      </c>
      <c r="F139" s="309" t="s">
        <v>432</v>
      </c>
      <c r="G139" s="309" t="s">
        <v>433</v>
      </c>
      <c r="H139" s="309" t="s">
        <v>267</v>
      </c>
      <c r="I139" s="309" t="s">
        <v>434</v>
      </c>
      <c r="J139" s="309" t="s">
        <v>354</v>
      </c>
    </row>
    <row r="140" spans="2:11" x14ac:dyDescent="0.3">
      <c r="B140" s="298" t="s">
        <v>269</v>
      </c>
      <c r="D140" s="299">
        <v>11699.308000000001</v>
      </c>
      <c r="E140" s="299">
        <v>2361.5630000000001</v>
      </c>
      <c r="F140" s="299">
        <v>9558.2109999999993</v>
      </c>
      <c r="G140" s="299">
        <v>9901.4330000000009</v>
      </c>
      <c r="H140" s="299">
        <v>416.065</v>
      </c>
      <c r="I140" s="299">
        <v>-8363.2303800000009</v>
      </c>
      <c r="J140" s="300">
        <v>25573.349619999997</v>
      </c>
    </row>
    <row r="141" spans="2:11" x14ac:dyDescent="0.3">
      <c r="B141" s="301" t="s">
        <v>169</v>
      </c>
      <c r="D141" s="302">
        <v>-9538.7450000000008</v>
      </c>
      <c r="E141" s="302">
        <v>-492.32499999999999</v>
      </c>
      <c r="F141" s="302">
        <v>-5818.0392680000004</v>
      </c>
      <c r="G141" s="302">
        <v>-9243.9500000000007</v>
      </c>
      <c r="H141" s="302">
        <v>-560.20630200000005</v>
      </c>
      <c r="I141" s="302">
        <v>7373.6660000000002</v>
      </c>
      <c r="J141" s="303">
        <v>-18279.599569999998</v>
      </c>
    </row>
    <row r="142" spans="2:11" x14ac:dyDescent="0.3">
      <c r="B142" s="301" t="s">
        <v>143</v>
      </c>
      <c r="D142" s="302">
        <v>-184.53700000000001</v>
      </c>
      <c r="E142" s="302">
        <v>0</v>
      </c>
      <c r="F142" s="302">
        <v>-2127.7919999999999</v>
      </c>
      <c r="G142" s="302">
        <v>-78.572999999999993</v>
      </c>
      <c r="H142" s="302">
        <v>-848.322</v>
      </c>
      <c r="I142" s="302">
        <v>156.29849999999999</v>
      </c>
      <c r="J142" s="303">
        <v>-3082.9254999999998</v>
      </c>
    </row>
    <row r="143" spans="2:11" x14ac:dyDescent="0.3">
      <c r="B143" s="301" t="s">
        <v>435</v>
      </c>
      <c r="D143" s="302">
        <v>-752.26800000000003</v>
      </c>
      <c r="E143" s="302">
        <v>34.405999999999999</v>
      </c>
      <c r="F143" s="302">
        <v>-52.79</v>
      </c>
      <c r="G143" s="302">
        <v>5.6130000000000004</v>
      </c>
      <c r="H143" s="302">
        <v>-10.552</v>
      </c>
      <c r="I143" s="302">
        <v>51.453499999999998</v>
      </c>
      <c r="J143" s="303">
        <v>-724.13750000000005</v>
      </c>
    </row>
    <row r="144" spans="2:11" ht="15" thickBot="1" x14ac:dyDescent="0.35">
      <c r="B144" s="301" t="s">
        <v>436</v>
      </c>
      <c r="D144" s="302">
        <v>25.309861000000001</v>
      </c>
      <c r="E144" s="302">
        <v>0</v>
      </c>
      <c r="F144" s="302">
        <v>255.15560399999998</v>
      </c>
      <c r="G144" s="302">
        <v>0</v>
      </c>
      <c r="H144" s="302">
        <v>12.028411</v>
      </c>
      <c r="I144" s="302">
        <v>0</v>
      </c>
      <c r="J144" s="303">
        <v>292.493876</v>
      </c>
    </row>
    <row r="145" spans="2:12" ht="15" thickTop="1" x14ac:dyDescent="0.3">
      <c r="B145" s="304" t="s">
        <v>437</v>
      </c>
      <c r="D145" s="305">
        <v>1249.067861</v>
      </c>
      <c r="E145" s="305">
        <v>1903.644</v>
      </c>
      <c r="F145" s="305">
        <v>1814.745336</v>
      </c>
      <c r="G145" s="305">
        <v>584.52300000000002</v>
      </c>
      <c r="H145" s="305">
        <v>-990.98689100000001</v>
      </c>
      <c r="I145" s="305">
        <v>-781.81238000000087</v>
      </c>
      <c r="J145" s="306">
        <v>3779.1809259999973</v>
      </c>
    </row>
    <row r="147" spans="2:12" ht="15" thickBot="1" x14ac:dyDescent="0.35"/>
    <row r="148" spans="2:12" x14ac:dyDescent="0.3">
      <c r="B148" s="63"/>
      <c r="D148" s="62">
        <v>43830</v>
      </c>
      <c r="E148" s="63">
        <v>43465</v>
      </c>
      <c r="F148" s="62">
        <v>43100</v>
      </c>
      <c r="G148" s="63">
        <v>42735</v>
      </c>
      <c r="H148" s="64" t="s">
        <v>261</v>
      </c>
    </row>
    <row r="149" spans="2:12" ht="27.6" x14ac:dyDescent="0.3">
      <c r="B149" s="65" t="s">
        <v>271</v>
      </c>
      <c r="C149" s="65"/>
      <c r="D149" s="67" t="s">
        <v>262</v>
      </c>
      <c r="E149" s="67" t="s">
        <v>262</v>
      </c>
      <c r="F149" s="66" t="s">
        <v>262</v>
      </c>
      <c r="G149" s="67" t="s">
        <v>262</v>
      </c>
      <c r="H149" s="68" t="s">
        <v>337</v>
      </c>
    </row>
    <row r="150" spans="2:12" ht="27.6" x14ac:dyDescent="0.3">
      <c r="B150" s="69" t="s">
        <v>402</v>
      </c>
      <c r="C150" s="73"/>
      <c r="D150" s="70">
        <v>11699.308056</v>
      </c>
      <c r="E150" s="71">
        <v>10230.591</v>
      </c>
      <c r="F150" s="70">
        <f>+[1]Árbev_EBITDA_szegmens!I4</f>
        <v>9557.5337209999998</v>
      </c>
      <c r="G150" s="71">
        <f>+[1]Árbev_EBITDA_szegmens!J4</f>
        <v>8291.0161179999996</v>
      </c>
      <c r="H150" s="72">
        <f>D150/E150-1</f>
        <v>0.14356131097411673</v>
      </c>
      <c r="K150" s="73"/>
      <c r="L150" s="81"/>
    </row>
    <row r="151" spans="2:12" ht="27.6" x14ac:dyDescent="0.3">
      <c r="B151" s="73" t="s">
        <v>401</v>
      </c>
      <c r="C151" s="73"/>
      <c r="D151" s="74">
        <v>2361.5630350000001</v>
      </c>
      <c r="E151" s="43">
        <v>626.95699999999999</v>
      </c>
      <c r="F151" s="74">
        <f>+[1]Árbev_EBITDA_szegmens!I14</f>
        <v>837.77375500000005</v>
      </c>
      <c r="G151" s="43">
        <f>+[1]Árbev_EBITDA_szegmens!J14</f>
        <v>1015.4943420000001</v>
      </c>
      <c r="H151" s="75">
        <f t="shared" ref="H151:H170" si="28">D151/E151-1</f>
        <v>2.7667065444679619</v>
      </c>
      <c r="K151" s="73"/>
      <c r="L151" s="81"/>
    </row>
    <row r="152" spans="2:12" x14ac:dyDescent="0.3">
      <c r="B152" s="73" t="s">
        <v>265</v>
      </c>
      <c r="C152" s="73"/>
      <c r="D152" s="74">
        <v>9558.2110150000008</v>
      </c>
      <c r="E152" s="43">
        <v>7581.6869999999999</v>
      </c>
      <c r="F152" s="74">
        <f>+[1]Árbev_EBITDA_szegmens!I23</f>
        <v>6216.3799730000001</v>
      </c>
      <c r="G152" s="43">
        <f>+[1]Árbev_EBITDA_szegmens!J23</f>
        <v>3897.1971610000001</v>
      </c>
      <c r="H152" s="75">
        <f t="shared" si="28"/>
        <v>0.26069712651023469</v>
      </c>
      <c r="K152" s="73"/>
      <c r="L152" s="81"/>
    </row>
    <row r="153" spans="2:12" x14ac:dyDescent="0.3">
      <c r="B153" s="73" t="s">
        <v>266</v>
      </c>
      <c r="C153" s="73"/>
      <c r="D153" s="74">
        <v>9901.4330840000002</v>
      </c>
      <c r="E153" s="43">
        <v>6943.4889999999996</v>
      </c>
      <c r="F153" s="74">
        <f>+[1]Árbev_EBITDA_szegmens!I33</f>
        <v>5120.8255200000003</v>
      </c>
      <c r="G153" s="43">
        <f>+[1]Árbev_EBITDA_szegmens!J33</f>
        <v>3091.856252</v>
      </c>
      <c r="H153" s="75">
        <f t="shared" si="28"/>
        <v>0.4260025592321095</v>
      </c>
      <c r="K153" s="73"/>
      <c r="L153" s="81"/>
    </row>
    <row r="154" spans="2:12" x14ac:dyDescent="0.3">
      <c r="B154" s="73" t="s">
        <v>267</v>
      </c>
      <c r="C154" s="73"/>
      <c r="D154" s="74">
        <v>416.06544100000002</v>
      </c>
      <c r="E154" s="43">
        <v>346.96300000000002</v>
      </c>
      <c r="F154" s="74">
        <v>346</v>
      </c>
      <c r="G154" s="43">
        <f>+[1]Árbev_EBITDA_szegmens!K43</f>
        <v>729.72434799999996</v>
      </c>
      <c r="H154" s="75">
        <f t="shared" si="28"/>
        <v>0.19916371774511976</v>
      </c>
      <c r="K154" s="73"/>
      <c r="L154" s="81"/>
    </row>
    <row r="155" spans="2:12" ht="15" thickBot="1" x14ac:dyDescent="0.35">
      <c r="B155" s="73" t="s">
        <v>268</v>
      </c>
      <c r="C155" s="73"/>
      <c r="D155" s="74">
        <v>-8363.2303800000009</v>
      </c>
      <c r="E155" s="43">
        <f>+'éves P&amp;L_mérleg'!I71-SUM('szegmensek új '!E150:E154)</f>
        <v>-7043.9200000000019</v>
      </c>
      <c r="F155" s="74">
        <f>-3670-20</f>
        <v>-3690</v>
      </c>
      <c r="G155" s="43">
        <f>+([2]KÁT!$C$35+[2]Egyéb!$C$35+[2]Enkisker!$C$35+[2]Eterm!$C$35+[2]Enszolg!$C$35)/1000</f>
        <v>-3077.0695139999998</v>
      </c>
      <c r="H155" s="75">
        <f t="shared" si="28"/>
        <v>0.18729775182000918</v>
      </c>
    </row>
    <row r="156" spans="2:12" ht="15" thickBot="1" x14ac:dyDescent="0.35">
      <c r="B156" s="76" t="s">
        <v>269</v>
      </c>
      <c r="C156" s="76"/>
      <c r="D156" s="77">
        <v>25573.350251000003</v>
      </c>
      <c r="E156" s="78">
        <f>+SUM(E150:E155)</f>
        <v>18685.767</v>
      </c>
      <c r="F156" s="77">
        <f>+SUM(F150:F155)</f>
        <v>18388.512969000003</v>
      </c>
      <c r="G156" s="78">
        <f>+SUM(G150:G155)</f>
        <v>13948.218707</v>
      </c>
      <c r="H156" s="79">
        <f t="shared" si="28"/>
        <v>0.36860051027073193</v>
      </c>
    </row>
    <row r="157" spans="2:12" x14ac:dyDescent="0.3">
      <c r="B157" s="73" t="s">
        <v>263</v>
      </c>
      <c r="C157" s="73"/>
      <c r="D157" s="74">
        <v>-10450.240345</v>
      </c>
      <c r="E157" s="43">
        <f>-8697-30-426</f>
        <v>-9153</v>
      </c>
      <c r="F157" s="74">
        <f>-8660-1+217</f>
        <v>-8444</v>
      </c>
      <c r="G157" s="43">
        <f>+[1]Árbev_EBITDA_szegmens!J5+[1]Árbev_EBITDA_szegmens!J6+[1]Árbev_EBITDA_szegmens!J7+[1]Árbev_EBITDA_szegmens!J8</f>
        <v>-6694.334866000002</v>
      </c>
      <c r="H157" s="75">
        <f t="shared" si="28"/>
        <v>0.14172843275428826</v>
      </c>
    </row>
    <row r="158" spans="2:12" ht="27.6" x14ac:dyDescent="0.3">
      <c r="B158" s="73" t="s">
        <v>264</v>
      </c>
      <c r="C158" s="73"/>
      <c r="D158" s="74">
        <v>-457.91884499999998</v>
      </c>
      <c r="E158" s="43">
        <f>-164-73+43</f>
        <v>-194</v>
      </c>
      <c r="F158" s="74">
        <f>-221-97+38</f>
        <v>-280</v>
      </c>
      <c r="G158" s="43">
        <f>+[1]Árbev_EBITDA_szegmens!J15+[1]Árbev_EBITDA_szegmens!J16+[1]Árbev_EBITDA_szegmens!J17</f>
        <v>-302.82872500000002</v>
      </c>
      <c r="H158" s="75">
        <f t="shared" si="28"/>
        <v>1.3604064175257733</v>
      </c>
    </row>
    <row r="159" spans="2:12" x14ac:dyDescent="0.3">
      <c r="B159" s="73" t="s">
        <v>265</v>
      </c>
      <c r="C159" s="73"/>
      <c r="D159" s="74">
        <v>-7745.0220890000001</v>
      </c>
      <c r="E159" s="43">
        <f>-4927-1611+213</f>
        <v>-6325</v>
      </c>
      <c r="F159" s="74">
        <f>-3759-1345+55</f>
        <v>-5049</v>
      </c>
      <c r="G159" s="43">
        <f>+[1]Árbev_EBITDA_szegmens!J24+[1]Árbev_EBITDA_szegmens!J25+[1]Árbev_EBITDA_szegmens!J26+[1]Árbev_EBITDA_szegmens!J27</f>
        <v>-3133.6149570000002</v>
      </c>
      <c r="H159" s="75">
        <f t="shared" si="28"/>
        <v>0.22450942118577077</v>
      </c>
    </row>
    <row r="160" spans="2:12" x14ac:dyDescent="0.3">
      <c r="B160" s="73" t="s">
        <v>266</v>
      </c>
      <c r="C160" s="73"/>
      <c r="D160" s="74">
        <v>-9316.9100830000007</v>
      </c>
      <c r="E160" s="43">
        <f>-6626-53+18</f>
        <v>-6661</v>
      </c>
      <c r="F160" s="74">
        <f>-5217-47+2</f>
        <v>-5262</v>
      </c>
      <c r="G160" s="43">
        <f>+[1]Árbev_EBITDA_szegmens!J34+[1]Árbev_EBITDA_szegmens!J35+[1]Árbev_EBITDA_szegmens!J36+[1]Árbev_EBITDA_szegmens!J37</f>
        <v>-2966.2490310000003</v>
      </c>
      <c r="H160" s="75">
        <f t="shared" si="28"/>
        <v>0.39872542906470509</v>
      </c>
    </row>
    <row r="161" spans="2:13" x14ac:dyDescent="0.3">
      <c r="B161" s="73" t="s">
        <v>267</v>
      </c>
      <c r="C161" s="73"/>
      <c r="D161" s="74">
        <v>-1407.0520859999999</v>
      </c>
      <c r="E161" s="43">
        <f>-545-800-10</f>
        <v>-1355</v>
      </c>
      <c r="F161" s="74">
        <f>-407-681+9</f>
        <v>-1079</v>
      </c>
      <c r="G161" s="43">
        <f>+[1]Árbev_EBITDA_szegmens!K44+[1]Árbev_EBITDA_szegmens!K45+[1]Árbev_EBITDA_szegmens!K46</f>
        <v>-1614.6495629999999</v>
      </c>
      <c r="H161" s="75">
        <f t="shared" si="28"/>
        <v>3.8414823616236049E-2</v>
      </c>
    </row>
    <row r="162" spans="2:13" ht="15" thickBot="1" x14ac:dyDescent="0.35">
      <c r="B162" s="73" t="s">
        <v>268</v>
      </c>
      <c r="C162" s="73"/>
      <c r="D162" s="74">
        <v>7582.9740929999989</v>
      </c>
      <c r="E162" s="43">
        <f>-E155-241</f>
        <v>6802.9200000000019</v>
      </c>
      <c r="F162" s="74">
        <f>-F155-13</f>
        <v>3677</v>
      </c>
      <c r="G162" s="43">
        <f>+SUM([2]Sheet1!$R$37:$X$37)/1000-G155</f>
        <v>3077.0445830000003</v>
      </c>
      <c r="H162" s="75">
        <f t="shared" si="28"/>
        <v>0.1146645988781283</v>
      </c>
    </row>
    <row r="163" spans="2:13" ht="15" thickBot="1" x14ac:dyDescent="0.35">
      <c r="B163" s="76" t="s">
        <v>270</v>
      </c>
      <c r="C163" s="76"/>
      <c r="D163" s="77">
        <v>-21794.169354999998</v>
      </c>
      <c r="E163" s="78">
        <f>+SUM(E157:E162)</f>
        <v>-16885.079999999998</v>
      </c>
      <c r="F163" s="77">
        <f>+SUM(F157:F162)</f>
        <v>-16437</v>
      </c>
      <c r="G163" s="78">
        <f>+SUM(G157:G162)</f>
        <v>-11634.632559</v>
      </c>
      <c r="H163" s="79">
        <f t="shared" si="28"/>
        <v>0.29073533290929032</v>
      </c>
    </row>
    <row r="164" spans="2:13" x14ac:dyDescent="0.3">
      <c r="B164" s="73" t="s">
        <v>263</v>
      </c>
      <c r="C164" s="73"/>
      <c r="D164" s="74">
        <v>1249.0677110000006</v>
      </c>
      <c r="E164" s="43">
        <f t="shared" ref="E164:G169" si="29">+E150+E157</f>
        <v>1077.5910000000003</v>
      </c>
      <c r="F164" s="74">
        <f>+F150+F157</f>
        <v>1113.5337209999998</v>
      </c>
      <c r="G164" s="43">
        <f t="shared" si="29"/>
        <v>1596.6812519999976</v>
      </c>
      <c r="H164" s="75">
        <f t="shared" si="28"/>
        <v>0.15912967999918348</v>
      </c>
      <c r="L164" s="43"/>
      <c r="M164" s="81"/>
    </row>
    <row r="165" spans="2:13" ht="27.6" x14ac:dyDescent="0.3">
      <c r="B165" s="73" t="s">
        <v>264</v>
      </c>
      <c r="C165" s="73"/>
      <c r="D165" s="74">
        <v>1903.6441900000002</v>
      </c>
      <c r="E165" s="43">
        <f t="shared" si="29"/>
        <v>432.95699999999999</v>
      </c>
      <c r="F165" s="74">
        <f t="shared" si="29"/>
        <v>557.77375500000005</v>
      </c>
      <c r="G165" s="43">
        <f t="shared" si="29"/>
        <v>712.66561700000011</v>
      </c>
      <c r="H165" s="75">
        <f t="shared" si="28"/>
        <v>3.3968435433541906</v>
      </c>
      <c r="L165" s="43"/>
      <c r="M165" s="81"/>
    </row>
    <row r="166" spans="2:13" x14ac:dyDescent="0.3">
      <c r="B166" s="73" t="s">
        <v>265</v>
      </c>
      <c r="C166" s="73"/>
      <c r="D166" s="74">
        <v>1813.1889260000007</v>
      </c>
      <c r="E166" s="43">
        <f t="shared" si="29"/>
        <v>1256.6869999999999</v>
      </c>
      <c r="F166" s="74">
        <f t="shared" si="29"/>
        <v>1167.3799730000001</v>
      </c>
      <c r="G166" s="43">
        <f t="shared" si="29"/>
        <v>763.58220399999982</v>
      </c>
      <c r="H166" s="75">
        <f t="shared" si="28"/>
        <v>0.44283256371713953</v>
      </c>
      <c r="L166" s="43"/>
      <c r="M166" s="81"/>
    </row>
    <row r="167" spans="2:13" x14ac:dyDescent="0.3">
      <c r="B167" s="73" t="s">
        <v>266</v>
      </c>
      <c r="C167" s="73"/>
      <c r="D167" s="74">
        <v>584.52300100000025</v>
      </c>
      <c r="E167" s="43">
        <f t="shared" si="29"/>
        <v>282.48899999999958</v>
      </c>
      <c r="F167" s="74">
        <f t="shared" si="29"/>
        <v>-141.17447999999968</v>
      </c>
      <c r="G167" s="43">
        <f t="shared" si="29"/>
        <v>125.60722099999975</v>
      </c>
      <c r="H167" s="75">
        <f t="shared" si="28"/>
        <v>1.0691885383147701</v>
      </c>
      <c r="L167" s="43"/>
      <c r="M167" s="81"/>
    </row>
    <row r="168" spans="2:13" x14ac:dyDescent="0.3">
      <c r="B168" s="73" t="s">
        <v>267</v>
      </c>
      <c r="C168" s="73"/>
      <c r="D168" s="74">
        <v>-990.98664500000007</v>
      </c>
      <c r="E168" s="43">
        <f t="shared" si="29"/>
        <v>-1008.037</v>
      </c>
      <c r="F168" s="74">
        <f t="shared" si="29"/>
        <v>-733</v>
      </c>
      <c r="G168" s="43">
        <f t="shared" si="29"/>
        <v>-884.92521499999998</v>
      </c>
      <c r="H168" s="75">
        <f t="shared" si="28"/>
        <v>-1.6914413855840582E-2</v>
      </c>
      <c r="L168" s="43"/>
      <c r="M168" s="81"/>
    </row>
    <row r="169" spans="2:13" ht="15" thickBot="1" x14ac:dyDescent="0.35">
      <c r="B169" s="73" t="s">
        <v>268</v>
      </c>
      <c r="C169" s="73"/>
      <c r="D169" s="74">
        <v>-780.25628700000129</v>
      </c>
      <c r="E169" s="43">
        <f t="shared" si="29"/>
        <v>-241</v>
      </c>
      <c r="F169" s="74">
        <f t="shared" si="29"/>
        <v>-13</v>
      </c>
      <c r="G169" s="43">
        <f t="shared" si="29"/>
        <v>-2.493099999946935E-2</v>
      </c>
      <c r="H169" s="75">
        <f t="shared" si="28"/>
        <v>2.2375779543568517</v>
      </c>
      <c r="L169" s="43"/>
      <c r="M169" s="81"/>
    </row>
    <row r="170" spans="2:13" ht="15" thickBot="1" x14ac:dyDescent="0.35">
      <c r="B170" s="76" t="s">
        <v>139</v>
      </c>
      <c r="C170" s="76"/>
      <c r="D170" s="77">
        <v>3779.1808960000008</v>
      </c>
      <c r="E170" s="78">
        <f>+SUM(E164:E169)</f>
        <v>1800.6869999999997</v>
      </c>
      <c r="F170" s="77">
        <f>+SUM(F164:F169)</f>
        <v>1951.5129690000003</v>
      </c>
      <c r="G170" s="78">
        <f>+SUM(G164:G169)</f>
        <v>2313.586147999998</v>
      </c>
      <c r="H170" s="79">
        <f t="shared" si="28"/>
        <v>1.0987439216254695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1229-50A7-4DE0-B8F3-1505BE2193FF}">
  <dimension ref="A1:F72"/>
  <sheetViews>
    <sheetView topLeftCell="A25" zoomScale="70" zoomScaleNormal="70" workbookViewId="0">
      <selection activeCell="E37" sqref="E37"/>
    </sheetView>
  </sheetViews>
  <sheetFormatPr defaultColWidth="8.77734375" defaultRowHeight="14.4" outlineLevelCol="1" x14ac:dyDescent="0.3"/>
  <cols>
    <col min="1" max="1" width="37.109375" bestFit="1" customWidth="1"/>
    <col min="2" max="2" width="29.77734375" customWidth="1" outlineLevel="1"/>
    <col min="3" max="5" width="29.77734375" customWidth="1"/>
    <col min="6" max="6" width="34.33203125" customWidth="1"/>
  </cols>
  <sheetData>
    <row r="1" spans="1:6" x14ac:dyDescent="0.3">
      <c r="C1" s="63">
        <v>44012</v>
      </c>
      <c r="D1" s="190">
        <v>43646</v>
      </c>
      <c r="E1" s="63">
        <v>43281</v>
      </c>
      <c r="F1" s="62">
        <v>42916</v>
      </c>
    </row>
    <row r="2" spans="1:6" x14ac:dyDescent="0.3">
      <c r="A2" s="65" t="s">
        <v>271</v>
      </c>
      <c r="B2" s="65"/>
      <c r="C2" s="67" t="s">
        <v>262</v>
      </c>
      <c r="D2" s="66" t="s">
        <v>262</v>
      </c>
      <c r="E2" s="67" t="s">
        <v>262</v>
      </c>
      <c r="F2" s="66" t="s">
        <v>262</v>
      </c>
    </row>
    <row r="3" spans="1:6" ht="27.6" x14ac:dyDescent="0.3">
      <c r="A3" s="69" t="s">
        <v>263</v>
      </c>
      <c r="B3" s="73" t="s">
        <v>274</v>
      </c>
      <c r="C3" s="71">
        <v>7529.115777</v>
      </c>
      <c r="D3" s="70">
        <v>8408</v>
      </c>
      <c r="E3" s="71">
        <v>10230.591</v>
      </c>
      <c r="F3" s="70">
        <v>9557.5337209999998</v>
      </c>
    </row>
    <row r="4" spans="1:6" ht="27.6" x14ac:dyDescent="0.3">
      <c r="A4" s="73" t="s">
        <v>264</v>
      </c>
      <c r="B4" s="73" t="s">
        <v>275</v>
      </c>
      <c r="C4" s="43">
        <v>1824.9811460000001</v>
      </c>
      <c r="D4" s="74">
        <v>1594</v>
      </c>
      <c r="E4" s="43">
        <v>626.95699999999999</v>
      </c>
      <c r="F4" s="74">
        <v>837.77375500000005</v>
      </c>
    </row>
    <row r="5" spans="1:6" x14ac:dyDescent="0.3">
      <c r="A5" s="73" t="s">
        <v>265</v>
      </c>
      <c r="B5" s="73" t="s">
        <v>276</v>
      </c>
      <c r="C5" s="43">
        <v>5133.0467189999999</v>
      </c>
      <c r="D5" s="74">
        <v>7841</v>
      </c>
      <c r="E5" s="43">
        <v>7581.6869999999999</v>
      </c>
      <c r="F5" s="74">
        <v>6216.3799730000001</v>
      </c>
    </row>
    <row r="6" spans="1:6" x14ac:dyDescent="0.3">
      <c r="A6" s="73" t="s">
        <v>266</v>
      </c>
      <c r="B6" s="73" t="s">
        <v>277</v>
      </c>
      <c r="C6" s="43">
        <v>5652.4070730000003</v>
      </c>
      <c r="D6" s="74">
        <v>7038</v>
      </c>
      <c r="E6" s="43">
        <v>6943.4889999999996</v>
      </c>
      <c r="F6" s="74">
        <v>5120.8255200000003</v>
      </c>
    </row>
    <row r="7" spans="1:6" x14ac:dyDescent="0.3">
      <c r="A7" s="73" t="s">
        <v>267</v>
      </c>
      <c r="B7" s="73" t="s">
        <v>278</v>
      </c>
      <c r="C7" s="43">
        <v>221.013226</v>
      </c>
      <c r="D7" s="74">
        <v>303</v>
      </c>
      <c r="E7" s="43">
        <v>346.96300000000002</v>
      </c>
      <c r="F7" s="74">
        <v>346</v>
      </c>
    </row>
    <row r="8" spans="1:6" ht="15" thickBot="1" x14ac:dyDescent="0.35">
      <c r="A8" s="73" t="s">
        <v>268</v>
      </c>
      <c r="B8" s="73"/>
      <c r="C8" s="43">
        <v>-4197.0369069999997</v>
      </c>
      <c r="D8" s="74">
        <v>-7189</v>
      </c>
      <c r="E8" s="43">
        <v>-7043.9200000000019</v>
      </c>
      <c r="F8" s="74">
        <v>-3690</v>
      </c>
    </row>
    <row r="9" spans="1:6" ht="15" thickBot="1" x14ac:dyDescent="0.35">
      <c r="A9" s="76" t="s">
        <v>269</v>
      </c>
      <c r="B9" s="76"/>
      <c r="C9" s="78">
        <v>16163.527034000001</v>
      </c>
      <c r="D9" s="77">
        <f>SUM(D3:D8)</f>
        <v>17995</v>
      </c>
      <c r="E9" s="78">
        <v>18685.767</v>
      </c>
      <c r="F9" s="77">
        <v>18388.512969000003</v>
      </c>
    </row>
    <row r="10" spans="1:6" ht="27.6" x14ac:dyDescent="0.3">
      <c r="A10" s="73" t="s">
        <v>263</v>
      </c>
      <c r="B10" s="73"/>
      <c r="C10" s="43">
        <v>-6012.6980099999992</v>
      </c>
      <c r="D10" s="74">
        <v>-7250</v>
      </c>
      <c r="E10" s="43">
        <v>-9153</v>
      </c>
      <c r="F10" s="74">
        <v>-8444</v>
      </c>
    </row>
    <row r="11" spans="1:6" ht="27.6" x14ac:dyDescent="0.3">
      <c r="A11" s="73" t="s">
        <v>264</v>
      </c>
      <c r="B11" s="73"/>
      <c r="C11" s="43">
        <v>-279.25217900000001</v>
      </c>
      <c r="D11" s="74">
        <v>-324</v>
      </c>
      <c r="E11" s="43">
        <v>-194</v>
      </c>
      <c r="F11" s="74">
        <v>-280</v>
      </c>
    </row>
    <row r="12" spans="1:6" x14ac:dyDescent="0.3">
      <c r="A12" s="73" t="s">
        <v>265</v>
      </c>
      <c r="B12" s="73"/>
      <c r="C12" s="43">
        <v>-4719.0978519999999</v>
      </c>
      <c r="D12" s="74">
        <v>-6285</v>
      </c>
      <c r="E12" s="43">
        <v>-6325</v>
      </c>
      <c r="F12" s="74">
        <v>-5049</v>
      </c>
    </row>
    <row r="13" spans="1:6" x14ac:dyDescent="0.3">
      <c r="A13" s="73" t="s">
        <v>266</v>
      </c>
      <c r="B13" s="73"/>
      <c r="C13" s="43">
        <v>-5556.0948600000002</v>
      </c>
      <c r="D13" s="74">
        <v>-6684</v>
      </c>
      <c r="E13" s="43">
        <v>-6661</v>
      </c>
      <c r="F13" s="74">
        <v>-5262</v>
      </c>
    </row>
    <row r="14" spans="1:6" x14ac:dyDescent="0.3">
      <c r="A14" s="73" t="s">
        <v>267</v>
      </c>
      <c r="B14" s="73"/>
      <c r="C14" s="43">
        <v>-656.00283999999999</v>
      </c>
      <c r="D14" s="74">
        <v>-1018</v>
      </c>
      <c r="E14" s="43">
        <v>-1355</v>
      </c>
      <c r="F14" s="74">
        <v>-1079</v>
      </c>
    </row>
    <row r="15" spans="1:6" ht="15" thickBot="1" x14ac:dyDescent="0.35">
      <c r="A15" s="73" t="s">
        <v>268</v>
      </c>
      <c r="B15" s="73"/>
      <c r="C15" s="43">
        <v>4196.9958829999996</v>
      </c>
      <c r="D15" s="74">
        <v>6365</v>
      </c>
      <c r="E15" s="43">
        <v>6802.9200000000019</v>
      </c>
      <c r="F15" s="74">
        <v>3677</v>
      </c>
    </row>
    <row r="16" spans="1:6" ht="15" thickBot="1" x14ac:dyDescent="0.35">
      <c r="A16" s="76" t="s">
        <v>270</v>
      </c>
      <c r="B16" s="76"/>
      <c r="C16" s="78">
        <v>-13026.149858000001</v>
      </c>
      <c r="D16" s="77">
        <f>SUM(D10:D15)</f>
        <v>-15196</v>
      </c>
      <c r="E16" s="78">
        <v>-16885.079999999998</v>
      </c>
      <c r="F16" s="77">
        <v>-16437</v>
      </c>
    </row>
    <row r="17" spans="1:6" ht="27.6" x14ac:dyDescent="0.3">
      <c r="A17" s="73" t="s">
        <v>263</v>
      </c>
      <c r="B17" s="73" t="s">
        <v>274</v>
      </c>
      <c r="C17" s="43">
        <v>1516.4177670000004</v>
      </c>
      <c r="D17" s="74">
        <v>1158</v>
      </c>
      <c r="E17" s="43">
        <v>1077.5910000000003</v>
      </c>
      <c r="F17" s="74">
        <v>1113.5337209999998</v>
      </c>
    </row>
    <row r="18" spans="1:6" ht="27.6" x14ac:dyDescent="0.3">
      <c r="A18" s="73" t="s">
        <v>264</v>
      </c>
      <c r="B18" s="73" t="s">
        <v>275</v>
      </c>
      <c r="C18" s="43">
        <v>1545.728967</v>
      </c>
      <c r="D18" s="74">
        <v>1270</v>
      </c>
      <c r="E18" s="43">
        <v>432.95699999999999</v>
      </c>
      <c r="F18" s="74">
        <v>557.77375500000005</v>
      </c>
    </row>
    <row r="19" spans="1:6" x14ac:dyDescent="0.3">
      <c r="A19" s="73" t="s">
        <v>265</v>
      </c>
      <c r="B19" s="73" t="s">
        <v>276</v>
      </c>
      <c r="C19" s="43">
        <v>413.94886700000006</v>
      </c>
      <c r="D19" s="74">
        <v>1556</v>
      </c>
      <c r="E19" s="43">
        <v>1256.6869999999999</v>
      </c>
      <c r="F19" s="74">
        <v>1167.3799730000001</v>
      </c>
    </row>
    <row r="20" spans="1:6" x14ac:dyDescent="0.3">
      <c r="A20" s="73" t="s">
        <v>266</v>
      </c>
      <c r="B20" s="73" t="s">
        <v>277</v>
      </c>
      <c r="C20" s="43">
        <v>96.312212999999971</v>
      </c>
      <c r="D20" s="74">
        <v>354</v>
      </c>
      <c r="E20" s="43">
        <v>282.48899999999958</v>
      </c>
      <c r="F20" s="74">
        <v>-141.17447999999968</v>
      </c>
    </row>
    <row r="21" spans="1:6" x14ac:dyDescent="0.3">
      <c r="A21" s="73" t="s">
        <v>267</v>
      </c>
      <c r="B21" s="73" t="s">
        <v>278</v>
      </c>
      <c r="C21" s="43">
        <v>-434.98961399999996</v>
      </c>
      <c r="D21" s="74">
        <v>-715</v>
      </c>
      <c r="E21" s="43">
        <v>-1008.037</v>
      </c>
      <c r="F21" s="74">
        <v>-733</v>
      </c>
    </row>
    <row r="22" spans="1:6" ht="15" thickBot="1" x14ac:dyDescent="0.35">
      <c r="A22" s="73" t="s">
        <v>268</v>
      </c>
      <c r="B22" s="73"/>
      <c r="C22" s="43">
        <v>-4.1023999999766136E-2</v>
      </c>
      <c r="D22" s="74">
        <v>-824</v>
      </c>
      <c r="E22" s="43">
        <v>-241</v>
      </c>
      <c r="F22" s="74">
        <v>-13</v>
      </c>
    </row>
    <row r="23" spans="1:6" ht="15" thickBot="1" x14ac:dyDescent="0.35">
      <c r="A23" s="76" t="s">
        <v>139</v>
      </c>
      <c r="B23" s="76"/>
      <c r="C23" s="78">
        <v>3137.3771760000009</v>
      </c>
      <c r="D23" s="77">
        <f>SUM(D17:D22)</f>
        <v>2799</v>
      </c>
      <c r="E23" s="78">
        <v>1800.6869999999997</v>
      </c>
      <c r="F23" s="77">
        <v>1951.5129690000003</v>
      </c>
    </row>
    <row r="26" spans="1:6" x14ac:dyDescent="0.3">
      <c r="A26" s="201" t="s">
        <v>325</v>
      </c>
      <c r="B26" s="201" t="s">
        <v>326</v>
      </c>
      <c r="C26" s="43"/>
      <c r="D26" s="43"/>
      <c r="E26" s="43"/>
    </row>
    <row r="27" spans="1:6" x14ac:dyDescent="0.3">
      <c r="A27" s="202" t="s">
        <v>327</v>
      </c>
      <c r="B27" s="202" t="s">
        <v>328</v>
      </c>
      <c r="C27" s="196">
        <v>42916</v>
      </c>
      <c r="D27" s="196">
        <v>43281</v>
      </c>
      <c r="E27" s="196">
        <v>43646</v>
      </c>
      <c r="F27" s="196">
        <v>44012</v>
      </c>
    </row>
    <row r="28" spans="1:6" x14ac:dyDescent="0.3">
      <c r="A28" s="43" t="s">
        <v>269</v>
      </c>
      <c r="B28" s="43" t="s">
        <v>323</v>
      </c>
      <c r="C28" s="43">
        <f>F3</f>
        <v>9557.5337209999998</v>
      </c>
      <c r="D28" s="74">
        <v>4934</v>
      </c>
      <c r="E28" s="43">
        <f>D3</f>
        <v>8408</v>
      </c>
      <c r="F28" s="74">
        <f>C3</f>
        <v>7529.115777</v>
      </c>
    </row>
    <row r="29" spans="1:6" ht="15" thickBot="1" x14ac:dyDescent="0.35">
      <c r="A29" s="43" t="s">
        <v>270</v>
      </c>
      <c r="B29" s="43" t="s">
        <v>324</v>
      </c>
      <c r="C29" s="43">
        <f>F10</f>
        <v>-8444</v>
      </c>
      <c r="D29" s="74">
        <f>-4242-24-167</f>
        <v>-4433</v>
      </c>
      <c r="E29" s="43">
        <f>D10</f>
        <v>-7250</v>
      </c>
      <c r="F29" s="74">
        <f>C10</f>
        <v>-6012.6980099999992</v>
      </c>
    </row>
    <row r="30" spans="1:6" ht="15" thickBot="1" x14ac:dyDescent="0.35">
      <c r="A30" s="194" t="s">
        <v>139</v>
      </c>
      <c r="B30" s="194" t="s">
        <v>139</v>
      </c>
      <c r="C30" s="194">
        <f>F17</f>
        <v>1113.5337209999998</v>
      </c>
      <c r="D30" s="193">
        <v>502</v>
      </c>
      <c r="E30" s="194">
        <f>E28+E29</f>
        <v>1158</v>
      </c>
      <c r="F30" s="193">
        <f>F28+F29</f>
        <v>1516.4177670000008</v>
      </c>
    </row>
    <row r="33" spans="1:6" x14ac:dyDescent="0.3">
      <c r="A33" s="191" t="s">
        <v>325</v>
      </c>
      <c r="B33" s="191" t="s">
        <v>326</v>
      </c>
    </row>
    <row r="34" spans="1:6" x14ac:dyDescent="0.3">
      <c r="A34" s="153" t="s">
        <v>321</v>
      </c>
      <c r="B34" s="153" t="s">
        <v>322</v>
      </c>
      <c r="C34" s="196">
        <v>42916</v>
      </c>
      <c r="D34" s="196">
        <v>43281</v>
      </c>
      <c r="E34" s="196">
        <v>43646</v>
      </c>
      <c r="F34" s="196">
        <v>44012</v>
      </c>
    </row>
    <row r="35" spans="1:6" x14ac:dyDescent="0.3">
      <c r="A35" t="s">
        <v>269</v>
      </c>
      <c r="B35" t="s">
        <v>323</v>
      </c>
      <c r="C35" s="43">
        <f>F4</f>
        <v>837.77375500000005</v>
      </c>
      <c r="D35" s="74">
        <f>E4</f>
        <v>626.95699999999999</v>
      </c>
      <c r="E35" s="43">
        <f>D4</f>
        <v>1594</v>
      </c>
      <c r="F35" s="74">
        <f>C4</f>
        <v>1824.9811460000001</v>
      </c>
    </row>
    <row r="36" spans="1:6" ht="15" thickBot="1" x14ac:dyDescent="0.35">
      <c r="A36" t="s">
        <v>270</v>
      </c>
      <c r="B36" t="s">
        <v>324</v>
      </c>
      <c r="C36" s="43">
        <f>F11</f>
        <v>-280</v>
      </c>
      <c r="D36" s="74">
        <f>E11</f>
        <v>-194</v>
      </c>
      <c r="E36" s="43">
        <f>D11</f>
        <v>-324</v>
      </c>
      <c r="F36" s="74">
        <f>C11</f>
        <v>-279.25217900000001</v>
      </c>
    </row>
    <row r="37" spans="1:6" ht="15" thickBot="1" x14ac:dyDescent="0.35">
      <c r="A37" s="192" t="s">
        <v>139</v>
      </c>
      <c r="B37" s="192" t="s">
        <v>139</v>
      </c>
      <c r="C37" s="194">
        <f>F18</f>
        <v>557.77375500000005</v>
      </c>
      <c r="D37" s="193">
        <f>E18</f>
        <v>432.95699999999999</v>
      </c>
      <c r="E37" s="194">
        <f>E35+E36</f>
        <v>1270</v>
      </c>
      <c r="F37" s="193">
        <f>F35+F36</f>
        <v>1545.728967</v>
      </c>
    </row>
    <row r="40" spans="1:6" x14ac:dyDescent="0.3">
      <c r="A40" s="191" t="s">
        <v>325</v>
      </c>
      <c r="B40" s="191" t="s">
        <v>326</v>
      </c>
    </row>
    <row r="41" spans="1:6" x14ac:dyDescent="0.3">
      <c r="A41" s="153" t="s">
        <v>265</v>
      </c>
      <c r="B41" s="153" t="s">
        <v>276</v>
      </c>
      <c r="C41" s="196">
        <v>42916</v>
      </c>
      <c r="D41" s="196">
        <v>43281</v>
      </c>
      <c r="E41" s="196">
        <v>43646</v>
      </c>
      <c r="F41" s="196">
        <v>44012</v>
      </c>
    </row>
    <row r="42" spans="1:6" x14ac:dyDescent="0.3">
      <c r="A42" t="s">
        <v>269</v>
      </c>
      <c r="B42" t="s">
        <v>323</v>
      </c>
      <c r="C42" s="43">
        <f>F5</f>
        <v>6216.3799730000001</v>
      </c>
      <c r="D42" s="74">
        <f>E5</f>
        <v>7581.6869999999999</v>
      </c>
      <c r="E42" s="43">
        <f>D5</f>
        <v>7841</v>
      </c>
      <c r="F42" s="74">
        <f>C5</f>
        <v>5133.0467189999999</v>
      </c>
    </row>
    <row r="43" spans="1:6" ht="15" thickBot="1" x14ac:dyDescent="0.35">
      <c r="A43" t="s">
        <v>270</v>
      </c>
      <c r="B43" t="s">
        <v>324</v>
      </c>
      <c r="C43" s="43">
        <f>F12</f>
        <v>-5049</v>
      </c>
      <c r="D43" s="74">
        <f>E12</f>
        <v>-6325</v>
      </c>
      <c r="E43" s="43">
        <f>D12</f>
        <v>-6285</v>
      </c>
      <c r="F43" s="74">
        <f>C12</f>
        <v>-4719.0978519999999</v>
      </c>
    </row>
    <row r="44" spans="1:6" ht="15" thickBot="1" x14ac:dyDescent="0.35">
      <c r="A44" s="192" t="s">
        <v>139</v>
      </c>
      <c r="B44" s="192" t="s">
        <v>139</v>
      </c>
      <c r="C44" s="194">
        <f>F19</f>
        <v>1167.3799730000001</v>
      </c>
      <c r="D44" s="193">
        <f>E19</f>
        <v>1256.6869999999999</v>
      </c>
      <c r="E44" s="194">
        <f>E42+E43</f>
        <v>1556</v>
      </c>
      <c r="F44" s="193">
        <f>F42+F43</f>
        <v>413.94886700000006</v>
      </c>
    </row>
    <row r="47" spans="1:6" x14ac:dyDescent="0.3">
      <c r="A47" s="191" t="s">
        <v>325</v>
      </c>
      <c r="B47" s="191" t="s">
        <v>326</v>
      </c>
    </row>
    <row r="48" spans="1:6" x14ac:dyDescent="0.3">
      <c r="A48" s="153" t="s">
        <v>266</v>
      </c>
      <c r="B48" s="153" t="s">
        <v>329</v>
      </c>
      <c r="C48" s="196">
        <v>42916</v>
      </c>
      <c r="D48" s="196">
        <v>43281</v>
      </c>
      <c r="E48" s="196">
        <v>43646</v>
      </c>
      <c r="F48" s="196">
        <v>44012</v>
      </c>
    </row>
    <row r="49" spans="1:6" x14ac:dyDescent="0.3">
      <c r="A49" t="s">
        <v>269</v>
      </c>
      <c r="B49" t="s">
        <v>323</v>
      </c>
      <c r="C49" s="43">
        <f>F6</f>
        <v>5120.8255200000003</v>
      </c>
      <c r="D49" s="74">
        <f>E6</f>
        <v>6943.4889999999996</v>
      </c>
      <c r="E49" s="43">
        <f>D6</f>
        <v>7038</v>
      </c>
      <c r="F49" s="74">
        <f>C6</f>
        <v>5652.4070730000003</v>
      </c>
    </row>
    <row r="50" spans="1:6" ht="15" thickBot="1" x14ac:dyDescent="0.35">
      <c r="A50" t="s">
        <v>270</v>
      </c>
      <c r="B50" t="s">
        <v>324</v>
      </c>
      <c r="C50" s="43">
        <f>F13</f>
        <v>-5262</v>
      </c>
      <c r="D50" s="74">
        <f>E13</f>
        <v>-6661</v>
      </c>
      <c r="E50" s="43">
        <f>D13</f>
        <v>-6684</v>
      </c>
      <c r="F50" s="74">
        <f>C13</f>
        <v>-5556.0948600000002</v>
      </c>
    </row>
    <row r="51" spans="1:6" ht="15" thickBot="1" x14ac:dyDescent="0.35">
      <c r="A51" s="192" t="s">
        <v>139</v>
      </c>
      <c r="B51" s="192" t="s">
        <v>139</v>
      </c>
      <c r="C51" s="194">
        <f>F20</f>
        <v>-141.17447999999968</v>
      </c>
      <c r="D51" s="193">
        <f>E20</f>
        <v>282.48899999999958</v>
      </c>
      <c r="E51" s="194">
        <f>E49+E50</f>
        <v>354</v>
      </c>
      <c r="F51" s="193">
        <f>F49+F50</f>
        <v>96.312213000000156</v>
      </c>
    </row>
    <row r="54" spans="1:6" x14ac:dyDescent="0.3">
      <c r="A54" s="191" t="s">
        <v>325</v>
      </c>
      <c r="B54" s="191" t="s">
        <v>326</v>
      </c>
    </row>
    <row r="55" spans="1:6" x14ac:dyDescent="0.3">
      <c r="A55" s="153" t="s">
        <v>267</v>
      </c>
      <c r="B55" s="153" t="s">
        <v>278</v>
      </c>
      <c r="C55" s="196">
        <v>42916</v>
      </c>
      <c r="D55" s="196">
        <v>43281</v>
      </c>
      <c r="E55" s="196">
        <v>43646</v>
      </c>
      <c r="F55" s="196">
        <v>44012</v>
      </c>
    </row>
    <row r="56" spans="1:6" x14ac:dyDescent="0.3">
      <c r="A56" t="s">
        <v>269</v>
      </c>
      <c r="B56" t="s">
        <v>323</v>
      </c>
      <c r="C56" s="197">
        <f>F7</f>
        <v>346</v>
      </c>
      <c r="D56" s="74">
        <f>E7</f>
        <v>346.96300000000002</v>
      </c>
      <c r="E56" s="43">
        <f>D7</f>
        <v>303</v>
      </c>
      <c r="F56" s="74">
        <f>C7</f>
        <v>221.013226</v>
      </c>
    </row>
    <row r="57" spans="1:6" ht="15" thickBot="1" x14ac:dyDescent="0.35">
      <c r="A57" t="s">
        <v>270</v>
      </c>
      <c r="B57" t="s">
        <v>324</v>
      </c>
      <c r="C57" s="197">
        <f>F14</f>
        <v>-1079</v>
      </c>
      <c r="D57" s="74">
        <f>E14</f>
        <v>-1355</v>
      </c>
      <c r="E57" s="43">
        <f>D14</f>
        <v>-1018</v>
      </c>
      <c r="F57" s="74">
        <f>C14</f>
        <v>-656.00283999999999</v>
      </c>
    </row>
    <row r="58" spans="1:6" ht="15" thickBot="1" x14ac:dyDescent="0.35">
      <c r="A58" s="192" t="s">
        <v>139</v>
      </c>
      <c r="B58" s="192" t="s">
        <v>139</v>
      </c>
      <c r="C58" s="198">
        <f>F21</f>
        <v>-733</v>
      </c>
      <c r="D58" s="193">
        <f>E21</f>
        <v>-1008.037</v>
      </c>
      <c r="E58" s="194">
        <f>E56+E57</f>
        <v>-715</v>
      </c>
      <c r="F58" s="193">
        <f>F56+F57</f>
        <v>-434.98961399999996</v>
      </c>
    </row>
    <row r="61" spans="1:6" x14ac:dyDescent="0.3">
      <c r="A61" s="191" t="s">
        <v>325</v>
      </c>
      <c r="B61" s="191" t="s">
        <v>326</v>
      </c>
    </row>
    <row r="62" spans="1:6" x14ac:dyDescent="0.3">
      <c r="A62" s="153" t="s">
        <v>330</v>
      </c>
      <c r="B62" s="153" t="s">
        <v>333</v>
      </c>
      <c r="C62" s="196">
        <v>42916</v>
      </c>
      <c r="D62" s="196">
        <v>43281</v>
      </c>
      <c r="E62" s="196">
        <v>43646</v>
      </c>
      <c r="F62" s="196">
        <v>44012</v>
      </c>
    </row>
    <row r="63" spans="1:6" x14ac:dyDescent="0.3">
      <c r="A63" t="s">
        <v>269</v>
      </c>
      <c r="B63" t="s">
        <v>323</v>
      </c>
      <c r="C63" s="197">
        <f t="shared" ref="C63:D63" si="0">C56+C49+C42+C35+C28</f>
        <v>22078.512969000003</v>
      </c>
      <c r="D63" s="74">
        <f t="shared" si="0"/>
        <v>20433.095999999998</v>
      </c>
      <c r="E63" s="43">
        <f>D8</f>
        <v>-7189</v>
      </c>
      <c r="F63" s="74">
        <f>C8</f>
        <v>-4197.0369069999997</v>
      </c>
    </row>
    <row r="64" spans="1:6" ht="15" thickBot="1" x14ac:dyDescent="0.35">
      <c r="A64" t="s">
        <v>270</v>
      </c>
      <c r="B64" t="s">
        <v>324</v>
      </c>
      <c r="C64" s="197">
        <f>C57+C50+C43+C36+C29</f>
        <v>-20114</v>
      </c>
      <c r="D64" s="74">
        <f>D57+D50+D43+D36+D29</f>
        <v>-18968</v>
      </c>
      <c r="E64" s="43">
        <f>D15</f>
        <v>6365</v>
      </c>
      <c r="F64" s="74">
        <f>C15</f>
        <v>4196.9958829999996</v>
      </c>
    </row>
    <row r="65" spans="1:6" ht="15" thickBot="1" x14ac:dyDescent="0.35">
      <c r="A65" s="192" t="s">
        <v>139</v>
      </c>
      <c r="B65" s="192" t="s">
        <v>139</v>
      </c>
      <c r="C65" s="198">
        <f>C58+C51+C44+C37+C30</f>
        <v>1964.5129690000003</v>
      </c>
      <c r="D65" s="193">
        <f>D58+D51+D44+D37+D30</f>
        <v>1466.0959999999995</v>
      </c>
      <c r="E65" s="194">
        <f>E63+E64</f>
        <v>-824</v>
      </c>
      <c r="F65" s="193">
        <f>F63+F64</f>
        <v>-4.1024000000106753E-2</v>
      </c>
    </row>
    <row r="68" spans="1:6" x14ac:dyDescent="0.3">
      <c r="A68" s="191" t="s">
        <v>325</v>
      </c>
      <c r="B68" s="191" t="s">
        <v>326</v>
      </c>
    </row>
    <row r="69" spans="1:6" x14ac:dyDescent="0.3">
      <c r="A69" s="153" t="s">
        <v>331</v>
      </c>
      <c r="B69" s="153" t="s">
        <v>332</v>
      </c>
      <c r="C69" s="196">
        <v>42916</v>
      </c>
      <c r="D69" s="196">
        <v>43281</v>
      </c>
      <c r="E69" s="196">
        <v>43646</v>
      </c>
      <c r="F69" s="196">
        <v>44012</v>
      </c>
    </row>
    <row r="70" spans="1:6" x14ac:dyDescent="0.3">
      <c r="A70" t="s">
        <v>269</v>
      </c>
      <c r="B70" t="s">
        <v>323</v>
      </c>
      <c r="C70" s="197">
        <f>C63+F8</f>
        <v>18388.512969000003</v>
      </c>
      <c r="D70" s="74">
        <f>D63+E8</f>
        <v>13389.175999999996</v>
      </c>
      <c r="F70" s="74"/>
    </row>
    <row r="71" spans="1:6" ht="15" thickBot="1" x14ac:dyDescent="0.35">
      <c r="A71" t="s">
        <v>270</v>
      </c>
      <c r="B71" t="s">
        <v>324</v>
      </c>
      <c r="C71" s="197">
        <f>C64+F15</f>
        <v>-16437</v>
      </c>
      <c r="D71" s="74">
        <f>D64+E15</f>
        <v>-12165.079999999998</v>
      </c>
      <c r="F71" s="74"/>
    </row>
    <row r="72" spans="1:6" ht="15" thickBot="1" x14ac:dyDescent="0.35">
      <c r="A72" s="192" t="s">
        <v>139</v>
      </c>
      <c r="B72" s="192" t="s">
        <v>139</v>
      </c>
      <c r="C72" s="198">
        <f>C65+F22</f>
        <v>1951.5129690000003</v>
      </c>
      <c r="D72" s="193">
        <f>D65+E22</f>
        <v>1225.0959999999995</v>
      </c>
      <c r="E72" s="192"/>
      <c r="F72" s="19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72D9-B725-4D9F-8AF9-1C9F6C2EED5F}">
  <dimension ref="B2:X79"/>
  <sheetViews>
    <sheetView topLeftCell="K1" workbookViewId="0">
      <selection activeCell="X17" sqref="X17"/>
    </sheetView>
  </sheetViews>
  <sheetFormatPr defaultColWidth="8.77734375" defaultRowHeight="14.4" outlineLevelCol="1" x14ac:dyDescent="0.3"/>
  <cols>
    <col min="1" max="1" width="4.6640625" customWidth="1"/>
    <col min="2" max="2" width="44.44140625" customWidth="1"/>
    <col min="3" max="3" width="37" hidden="1" customWidth="1" outlineLevel="1"/>
    <col min="4" max="4" width="9.109375" collapsed="1"/>
    <col min="9" max="9" width="13.109375" customWidth="1"/>
    <col min="10" max="12" width="14.6640625" customWidth="1"/>
    <col min="13" max="13" width="13" customWidth="1"/>
    <col min="14" max="14" width="41.77734375" hidden="1" customWidth="1" outlineLevel="1"/>
    <col min="15" max="15" width="50.33203125" customWidth="1" collapsed="1"/>
    <col min="20" max="22" width="12.109375" bestFit="1" customWidth="1"/>
    <col min="23" max="23" width="13.33203125" bestFit="1" customWidth="1"/>
    <col min="24" max="24" width="12.44140625" customWidth="1"/>
  </cols>
  <sheetData>
    <row r="2" spans="2:24" ht="15" thickBot="1" x14ac:dyDescent="0.35"/>
    <row r="3" spans="2:24" ht="15" thickBot="1" x14ac:dyDescent="0.35">
      <c r="B3" s="220" t="s">
        <v>342</v>
      </c>
      <c r="C3" s="220" t="s">
        <v>343</v>
      </c>
      <c r="D3" s="221">
        <v>2013</v>
      </c>
      <c r="E3" s="221">
        <f>+D3+1</f>
        <v>2014</v>
      </c>
      <c r="F3" s="221">
        <f t="shared" ref="F3:L3" si="0">+E3+1</f>
        <v>2015</v>
      </c>
      <c r="G3" s="221">
        <f t="shared" si="0"/>
        <v>2016</v>
      </c>
      <c r="H3" s="221">
        <f t="shared" si="0"/>
        <v>2017</v>
      </c>
      <c r="I3" s="221">
        <f t="shared" si="0"/>
        <v>2018</v>
      </c>
      <c r="J3" s="221">
        <f t="shared" si="0"/>
        <v>2019</v>
      </c>
      <c r="K3" s="405">
        <f t="shared" si="0"/>
        <v>2020</v>
      </c>
      <c r="L3" s="262">
        <f t="shared" si="0"/>
        <v>2021</v>
      </c>
      <c r="N3" s="222" t="s">
        <v>344</v>
      </c>
      <c r="O3" s="223" t="s">
        <v>345</v>
      </c>
      <c r="P3" s="413">
        <v>2013</v>
      </c>
      <c r="Q3" s="48">
        <f>+P3+1</f>
        <v>2014</v>
      </c>
      <c r="R3" s="48">
        <f t="shared" ref="R3:V3" si="1">+Q3+1</f>
        <v>2015</v>
      </c>
      <c r="S3" s="48">
        <f t="shared" si="1"/>
        <v>2016</v>
      </c>
      <c r="T3" s="48">
        <f t="shared" si="1"/>
        <v>2017</v>
      </c>
      <c r="U3" s="48">
        <f t="shared" si="1"/>
        <v>2018</v>
      </c>
      <c r="V3" s="48">
        <f t="shared" si="1"/>
        <v>2019</v>
      </c>
      <c r="W3" s="411">
        <f>+V3+1</f>
        <v>2020</v>
      </c>
      <c r="X3" s="412">
        <f>+W3+1</f>
        <v>2021</v>
      </c>
    </row>
    <row r="4" spans="2:24" x14ac:dyDescent="0.3">
      <c r="B4" s="224" t="s">
        <v>346</v>
      </c>
      <c r="C4" s="224" t="s">
        <v>346</v>
      </c>
      <c r="D4" s="225">
        <v>399191</v>
      </c>
      <c r="E4" s="226">
        <v>303406</v>
      </c>
      <c r="F4" s="226">
        <v>148227</v>
      </c>
      <c r="G4" s="226">
        <v>43775.493999999999</v>
      </c>
      <c r="H4" s="226">
        <v>48214</v>
      </c>
      <c r="I4" s="226">
        <v>39673.569049999998</v>
      </c>
      <c r="J4" s="226">
        <v>39398</v>
      </c>
      <c r="K4" s="226">
        <v>51944.600000000006</v>
      </c>
      <c r="L4" s="227">
        <v>83807.076000000001</v>
      </c>
      <c r="N4" s="228" t="s">
        <v>347</v>
      </c>
      <c r="O4" s="228" t="s">
        <v>348</v>
      </c>
      <c r="P4" s="414">
        <v>85180.214999999997</v>
      </c>
      <c r="Q4" s="230">
        <v>117530.183</v>
      </c>
      <c r="R4" s="230">
        <v>157858.92000000001</v>
      </c>
      <c r="S4" s="230">
        <v>173132.1</v>
      </c>
      <c r="T4" s="230">
        <v>316330</v>
      </c>
      <c r="U4" s="230">
        <v>367315</v>
      </c>
      <c r="V4" s="230">
        <v>405701</v>
      </c>
      <c r="W4" s="230">
        <v>485122</v>
      </c>
      <c r="X4" s="231">
        <v>503881</v>
      </c>
    </row>
    <row r="5" spans="2:24" x14ac:dyDescent="0.3">
      <c r="B5" s="228" t="s">
        <v>349</v>
      </c>
      <c r="C5" s="228" t="s">
        <v>349</v>
      </c>
      <c r="D5" s="229">
        <v>266266.05068197998</v>
      </c>
      <c r="E5" s="230">
        <v>217015.65134144499</v>
      </c>
      <c r="F5" s="230">
        <v>201360.24492105551</v>
      </c>
      <c r="G5" s="230">
        <v>232809.0114059168</v>
      </c>
      <c r="H5" s="230">
        <v>331962</v>
      </c>
      <c r="I5" s="230">
        <v>305538.51158999995</v>
      </c>
      <c r="J5" s="230">
        <v>295708</v>
      </c>
      <c r="K5" s="230">
        <v>365699</v>
      </c>
      <c r="L5" s="231">
        <v>464514.82290000003</v>
      </c>
      <c r="N5" s="228" t="s">
        <v>350</v>
      </c>
      <c r="O5" s="228" t="s">
        <v>351</v>
      </c>
      <c r="P5" s="414"/>
      <c r="Q5" s="230"/>
      <c r="R5" s="230"/>
      <c r="S5" s="230">
        <f>106113.88/3.6</f>
        <v>29476.077777777777</v>
      </c>
      <c r="T5" s="230">
        <v>100254</v>
      </c>
      <c r="U5" s="230">
        <v>138813</v>
      </c>
      <c r="V5" s="230">
        <v>202550</v>
      </c>
      <c r="W5" s="230">
        <v>248806</v>
      </c>
      <c r="X5" s="231">
        <v>289107</v>
      </c>
    </row>
    <row r="6" spans="2:24" ht="15" thickBot="1" x14ac:dyDescent="0.35">
      <c r="B6" s="228" t="s">
        <v>352</v>
      </c>
      <c r="C6" s="228" t="s">
        <v>352</v>
      </c>
      <c r="D6" s="229"/>
      <c r="E6" s="230"/>
      <c r="F6" s="230">
        <v>457309.22269000002</v>
      </c>
      <c r="G6" s="230">
        <v>463806.95</v>
      </c>
      <c r="H6" s="230">
        <v>541581.95595043001</v>
      </c>
      <c r="I6" s="230">
        <v>487025.41769031755</v>
      </c>
      <c r="J6" s="230">
        <v>478057.28912492347</v>
      </c>
      <c r="K6" s="230">
        <v>512785</v>
      </c>
      <c r="L6" s="231">
        <v>557790.16776193294</v>
      </c>
      <c r="N6" s="232" t="s">
        <v>353</v>
      </c>
      <c r="O6" s="232" t="s">
        <v>354</v>
      </c>
      <c r="P6" s="415">
        <f>SUM(P4:P5)</f>
        <v>85180.214999999997</v>
      </c>
      <c r="Q6" s="233">
        <f t="shared" ref="Q6:U6" si="2">SUM(Q4:Q5)</f>
        <v>117530.183</v>
      </c>
      <c r="R6" s="233">
        <f t="shared" si="2"/>
        <v>157858.92000000001</v>
      </c>
      <c r="S6" s="233">
        <f t="shared" si="2"/>
        <v>202608.17777777778</v>
      </c>
      <c r="T6" s="233">
        <f t="shared" si="2"/>
        <v>416584</v>
      </c>
      <c r="U6" s="233">
        <f t="shared" si="2"/>
        <v>506128</v>
      </c>
      <c r="V6" s="233">
        <f t="shared" ref="V6:W6" si="3">SUM(V4:V5)</f>
        <v>608251</v>
      </c>
      <c r="W6" s="233">
        <f t="shared" si="3"/>
        <v>733928</v>
      </c>
      <c r="X6" s="416">
        <f t="shared" ref="X6" si="4">SUM(X4:X5)</f>
        <v>792988</v>
      </c>
    </row>
    <row r="7" spans="2:24" x14ac:dyDescent="0.3">
      <c r="B7" s="228" t="s">
        <v>355</v>
      </c>
      <c r="C7" s="228" t="s">
        <v>355</v>
      </c>
      <c r="D7" s="229"/>
      <c r="E7" s="230"/>
      <c r="F7" s="230">
        <v>237648.30602127299</v>
      </c>
      <c r="G7" s="230">
        <v>249692.21717421999</v>
      </c>
      <c r="H7" s="230">
        <v>203582.07484354469</v>
      </c>
      <c r="I7" s="230">
        <v>200175.0593283661</v>
      </c>
      <c r="J7" s="230">
        <v>220807</v>
      </c>
      <c r="K7" s="230">
        <v>235597</v>
      </c>
      <c r="L7" s="231">
        <v>235351.51262026397</v>
      </c>
    </row>
    <row r="8" spans="2:24" x14ac:dyDescent="0.3">
      <c r="B8" s="228" t="s">
        <v>356</v>
      </c>
      <c r="C8" s="228" t="s">
        <v>356</v>
      </c>
      <c r="D8" s="229"/>
      <c r="E8" s="230"/>
      <c r="F8" s="230">
        <v>304577.35402476275</v>
      </c>
      <c r="G8" s="230">
        <v>300125.81178366736</v>
      </c>
      <c r="H8" s="230">
        <v>348465.54973823036</v>
      </c>
      <c r="I8" s="230">
        <v>315289.15484692995</v>
      </c>
      <c r="J8" s="230">
        <v>304573</v>
      </c>
      <c r="K8" s="230">
        <v>331598</v>
      </c>
      <c r="L8" s="231">
        <v>372619.18272712402</v>
      </c>
    </row>
    <row r="9" spans="2:24" x14ac:dyDescent="0.3">
      <c r="B9" s="228" t="s">
        <v>357</v>
      </c>
      <c r="C9" s="228" t="s">
        <v>357</v>
      </c>
      <c r="D9" s="229"/>
      <c r="E9" s="230"/>
      <c r="F9" s="230">
        <v>822446.15533776931</v>
      </c>
      <c r="G9" s="230">
        <v>792317.9365500001</v>
      </c>
      <c r="H9" s="230">
        <v>774711.96727000002</v>
      </c>
      <c r="I9" s="230">
        <v>629979.12952239998</v>
      </c>
      <c r="J9" s="230">
        <v>729525</v>
      </c>
      <c r="K9" s="230">
        <v>717283</v>
      </c>
      <c r="L9" s="231">
        <v>750463.65935000009</v>
      </c>
    </row>
    <row r="10" spans="2:24" ht="15" thickBot="1" x14ac:dyDescent="0.35">
      <c r="B10" s="234" t="s">
        <v>358</v>
      </c>
      <c r="C10" s="234" t="s">
        <v>358</v>
      </c>
      <c r="D10" s="235">
        <v>4198.1170928299998</v>
      </c>
      <c r="E10" s="236">
        <v>2447.26025566</v>
      </c>
      <c r="F10" s="236">
        <v>1129.403577</v>
      </c>
      <c r="G10" s="236">
        <v>196.91644602942011</v>
      </c>
      <c r="H10" s="236">
        <v>4277.7777183440003</v>
      </c>
      <c r="I10" s="236">
        <v>8140.0902811059996</v>
      </c>
      <c r="J10" s="236">
        <v>5428</v>
      </c>
      <c r="K10" s="236">
        <v>3221</v>
      </c>
      <c r="L10" s="237">
        <v>0</v>
      </c>
    </row>
    <row r="11" spans="2:24" ht="15" thickBot="1" x14ac:dyDescent="0.35">
      <c r="B11" s="238" t="s">
        <v>353</v>
      </c>
      <c r="C11" s="238" t="s">
        <v>354</v>
      </c>
      <c r="D11" s="239">
        <f>SUM(D4:D10)</f>
        <v>669655.16777480999</v>
      </c>
      <c r="E11" s="240">
        <f t="shared" ref="E11:J11" si="5">SUM(E4:E10)</f>
        <v>522868.91159710498</v>
      </c>
      <c r="F11" s="240">
        <f t="shared" si="5"/>
        <v>2172697.6865718607</v>
      </c>
      <c r="G11" s="240">
        <f t="shared" si="5"/>
        <v>2082724.3373598338</v>
      </c>
      <c r="H11" s="240">
        <f t="shared" si="5"/>
        <v>2252795.325520549</v>
      </c>
      <c r="I11" s="240">
        <f t="shared" si="5"/>
        <v>1985820.9323091195</v>
      </c>
      <c r="J11" s="240">
        <f t="shared" si="5"/>
        <v>2073496.2891249235</v>
      </c>
      <c r="K11" s="240">
        <f>SUM(K4:K10)</f>
        <v>2218127.6</v>
      </c>
      <c r="L11" s="241">
        <f>SUM(L4:L10)</f>
        <v>2464546.4213593211</v>
      </c>
    </row>
    <row r="13" spans="2:24" ht="15" thickBot="1" x14ac:dyDescent="0.35"/>
    <row r="14" spans="2:24" ht="15" thickBot="1" x14ac:dyDescent="0.35">
      <c r="B14" s="242" t="s">
        <v>359</v>
      </c>
      <c r="C14" s="407" t="s">
        <v>360</v>
      </c>
      <c r="D14" s="221">
        <v>2013</v>
      </c>
      <c r="E14" s="221">
        <f>+D14+1</f>
        <v>2014</v>
      </c>
      <c r="F14" s="221">
        <f t="shared" ref="F14:L14" si="6">+E14+1</f>
        <v>2015</v>
      </c>
      <c r="G14" s="221">
        <f t="shared" si="6"/>
        <v>2016</v>
      </c>
      <c r="H14" s="221">
        <f t="shared" si="6"/>
        <v>2017</v>
      </c>
      <c r="I14" s="221">
        <f t="shared" si="6"/>
        <v>2018</v>
      </c>
      <c r="J14" s="221">
        <f t="shared" si="6"/>
        <v>2019</v>
      </c>
      <c r="K14" s="405">
        <f t="shared" si="6"/>
        <v>2020</v>
      </c>
      <c r="L14" s="262">
        <f t="shared" si="6"/>
        <v>2021</v>
      </c>
      <c r="N14" s="223" t="s">
        <v>361</v>
      </c>
      <c r="O14" s="223" t="s">
        <v>362</v>
      </c>
      <c r="P14" s="48">
        <v>2013</v>
      </c>
      <c r="Q14" s="48">
        <f>+P14+1</f>
        <v>2014</v>
      </c>
      <c r="R14" s="48">
        <f t="shared" ref="R14:X14" si="7">+Q14+1</f>
        <v>2015</v>
      </c>
      <c r="S14" s="48">
        <f t="shared" si="7"/>
        <v>2016</v>
      </c>
      <c r="T14" s="48">
        <f t="shared" si="7"/>
        <v>2017</v>
      </c>
      <c r="U14" s="48">
        <f t="shared" si="7"/>
        <v>2018</v>
      </c>
      <c r="V14" s="48">
        <f t="shared" si="7"/>
        <v>2019</v>
      </c>
      <c r="W14" s="411">
        <f t="shared" si="7"/>
        <v>2020</v>
      </c>
      <c r="X14" s="412">
        <f t="shared" si="7"/>
        <v>2021</v>
      </c>
    </row>
    <row r="15" spans="2:24" ht="15" thickBot="1" x14ac:dyDescent="0.35">
      <c r="B15" s="243" t="s">
        <v>346</v>
      </c>
      <c r="C15" s="408" t="s">
        <v>346</v>
      </c>
      <c r="D15" s="225">
        <v>13064.129000000001</v>
      </c>
      <c r="E15" s="226">
        <v>8267.2520000000004</v>
      </c>
      <c r="F15" s="226">
        <v>705.72900000000004</v>
      </c>
      <c r="G15" s="226">
        <v>414.31824999999998</v>
      </c>
      <c r="H15" s="226">
        <v>2003.3050000000001</v>
      </c>
      <c r="I15" s="226">
        <v>1224.7750000000001</v>
      </c>
      <c r="J15" s="226">
        <v>1067.56</v>
      </c>
      <c r="K15" s="226">
        <v>2377.127</v>
      </c>
      <c r="L15" s="227">
        <v>5495.5048299999999</v>
      </c>
      <c r="N15" s="278" t="s">
        <v>348</v>
      </c>
      <c r="O15" s="279" t="s">
        <v>348</v>
      </c>
      <c r="P15" s="265">
        <v>85180.214999999997</v>
      </c>
      <c r="Q15" s="265">
        <v>152534.13</v>
      </c>
      <c r="R15" s="265">
        <v>215698.99</v>
      </c>
      <c r="S15" s="265">
        <v>203952.98</v>
      </c>
      <c r="T15" s="265">
        <v>271240</v>
      </c>
      <c r="U15" s="265">
        <v>269320</v>
      </c>
      <c r="V15" s="265">
        <v>238198</v>
      </c>
      <c r="W15" s="417">
        <v>296504.74</v>
      </c>
      <c r="X15" s="291">
        <v>294563</v>
      </c>
    </row>
    <row r="16" spans="2:24" ht="18.45" customHeight="1" thickBot="1" x14ac:dyDescent="0.35">
      <c r="B16" s="228" t="s">
        <v>349</v>
      </c>
      <c r="C16" s="409" t="s">
        <v>349</v>
      </c>
      <c r="D16" s="229">
        <v>14479.5</v>
      </c>
      <c r="E16" s="230">
        <v>9122.4</v>
      </c>
      <c r="F16" s="230">
        <v>6799.1000000000013</v>
      </c>
      <c r="G16" s="230">
        <v>5633.4</v>
      </c>
      <c r="H16" s="230">
        <v>13461.4</v>
      </c>
      <c r="I16" s="230">
        <v>11943.011</v>
      </c>
      <c r="J16" s="230">
        <v>9066.39</v>
      </c>
      <c r="K16" s="230">
        <v>14942.161</v>
      </c>
      <c r="L16" s="231">
        <v>31026.863000000001</v>
      </c>
      <c r="O16" s="311" t="s">
        <v>414</v>
      </c>
      <c r="P16" s="312"/>
      <c r="Q16" s="312"/>
      <c r="R16" s="312"/>
      <c r="S16" s="312"/>
      <c r="T16" s="313">
        <v>53872</v>
      </c>
      <c r="U16" s="313">
        <v>69888</v>
      </c>
      <c r="V16" s="313">
        <v>52224</v>
      </c>
      <c r="W16" s="313">
        <v>35040</v>
      </c>
      <c r="X16" s="314">
        <v>70080</v>
      </c>
    </row>
    <row r="17" spans="2:20" x14ac:dyDescent="0.3">
      <c r="B17" s="228" t="s">
        <v>352</v>
      </c>
      <c r="C17" s="409" t="s">
        <v>352</v>
      </c>
      <c r="D17" s="229"/>
      <c r="E17" s="230"/>
      <c r="F17" s="230">
        <v>7669.3</v>
      </c>
      <c r="G17" s="230">
        <v>5011.87</v>
      </c>
      <c r="H17" s="230">
        <v>14595.828</v>
      </c>
      <c r="I17" s="230">
        <v>12810</v>
      </c>
      <c r="J17" s="230">
        <v>9098</v>
      </c>
      <c r="K17" s="230">
        <v>13530</v>
      </c>
      <c r="L17" s="231">
        <v>15895</v>
      </c>
      <c r="O17" s="248"/>
      <c r="P17" s="249"/>
      <c r="Q17" s="249"/>
      <c r="R17" s="249"/>
      <c r="S17" s="249"/>
      <c r="T17" s="249"/>
    </row>
    <row r="18" spans="2:20" x14ac:dyDescent="0.3">
      <c r="B18" s="228" t="s">
        <v>355</v>
      </c>
      <c r="C18" s="409" t="s">
        <v>355</v>
      </c>
      <c r="D18" s="229"/>
      <c r="E18" s="230"/>
      <c r="F18" s="230">
        <v>26812.799999999999</v>
      </c>
      <c r="G18" s="230">
        <v>28012.2</v>
      </c>
      <c r="H18" s="230">
        <v>22551.8</v>
      </c>
      <c r="I18" s="230">
        <v>22090.9</v>
      </c>
      <c r="J18" s="230">
        <v>24432.6</v>
      </c>
      <c r="K18" s="230">
        <v>26001.200000000001</v>
      </c>
      <c r="L18" s="231">
        <v>26513.100000000002</v>
      </c>
    </row>
    <row r="19" spans="2:20" x14ac:dyDescent="0.3">
      <c r="B19" s="228" t="s">
        <v>356</v>
      </c>
      <c r="C19" s="409" t="s">
        <v>356</v>
      </c>
      <c r="D19" s="229"/>
      <c r="E19" s="230"/>
      <c r="F19" s="230">
        <v>5538.6140000000005</v>
      </c>
      <c r="G19" s="230">
        <v>2586.7449999999999</v>
      </c>
      <c r="H19" s="230">
        <v>7656.2309999999998</v>
      </c>
      <c r="I19" s="230">
        <v>7909.8760000000002</v>
      </c>
      <c r="J19" s="230">
        <v>6382.56</v>
      </c>
      <c r="K19" s="230">
        <v>11613.913</v>
      </c>
      <c r="L19" s="231">
        <v>16380.82</v>
      </c>
    </row>
    <row r="20" spans="2:20" x14ac:dyDescent="0.3">
      <c r="B20" s="228" t="s">
        <v>357</v>
      </c>
      <c r="C20" s="409" t="s">
        <v>357</v>
      </c>
      <c r="D20" s="229"/>
      <c r="E20" s="230"/>
      <c r="F20" s="230">
        <v>96088.721000000005</v>
      </c>
      <c r="G20" s="230">
        <v>93917</v>
      </c>
      <c r="H20" s="230">
        <v>93870.095000000001</v>
      </c>
      <c r="I20" s="230">
        <v>70895</v>
      </c>
      <c r="J20" s="230">
        <v>83382.25</v>
      </c>
      <c r="K20" s="230">
        <v>81535</v>
      </c>
      <c r="L20" s="231">
        <v>87999</v>
      </c>
    </row>
    <row r="21" spans="2:20" x14ac:dyDescent="0.3">
      <c r="B21" s="228" t="s">
        <v>358</v>
      </c>
      <c r="C21" s="409" t="s">
        <v>358</v>
      </c>
      <c r="D21" s="235">
        <v>417.88</v>
      </c>
      <c r="E21" s="236">
        <v>245.36000000000004</v>
      </c>
      <c r="F21" s="236">
        <v>110.05</v>
      </c>
      <c r="G21" s="236">
        <v>19.275000000000301</v>
      </c>
      <c r="H21" s="236">
        <v>440.28</v>
      </c>
      <c r="I21" s="236">
        <v>819.06</v>
      </c>
      <c r="J21" s="236">
        <v>548.41999999999996</v>
      </c>
      <c r="K21" s="236">
        <v>327.3</v>
      </c>
      <c r="L21" s="237">
        <v>0</v>
      </c>
    </row>
    <row r="22" spans="2:20" x14ac:dyDescent="0.3">
      <c r="B22" s="228" t="s">
        <v>363</v>
      </c>
      <c r="C22" s="409" t="s">
        <v>363</v>
      </c>
      <c r="D22" s="235"/>
      <c r="E22" s="236"/>
      <c r="F22" s="236"/>
      <c r="G22" s="236"/>
      <c r="H22" s="236">
        <f>5234-1472</f>
        <v>3762</v>
      </c>
      <c r="I22" s="236">
        <v>3201.7330000000002</v>
      </c>
      <c r="J22" s="236">
        <v>4347.1400000000003</v>
      </c>
      <c r="K22" s="236">
        <v>3882.5160000000001</v>
      </c>
      <c r="L22" s="237">
        <v>4582.9590000000007</v>
      </c>
    </row>
    <row r="23" spans="2:20" x14ac:dyDescent="0.3">
      <c r="B23" s="228" t="s">
        <v>364</v>
      </c>
      <c r="C23" s="409" t="s">
        <v>364</v>
      </c>
      <c r="D23" s="235"/>
      <c r="E23" s="236"/>
      <c r="F23" s="236"/>
      <c r="G23" s="236"/>
      <c r="H23" s="236"/>
      <c r="I23" s="236">
        <v>1892.92</v>
      </c>
      <c r="J23" s="236">
        <v>4769.28</v>
      </c>
      <c r="K23" s="236">
        <v>3657.6019999999999</v>
      </c>
      <c r="L23" s="237">
        <v>4253.1960000000008</v>
      </c>
    </row>
    <row r="24" spans="2:20" x14ac:dyDescent="0.3">
      <c r="B24" s="228" t="s">
        <v>365</v>
      </c>
      <c r="C24" s="409" t="s">
        <v>365</v>
      </c>
      <c r="D24" s="235"/>
      <c r="E24" s="236"/>
      <c r="F24" s="236"/>
      <c r="G24" s="236"/>
      <c r="H24" s="236"/>
      <c r="I24" s="236">
        <f>10881/(3.6)</f>
        <v>3022.5</v>
      </c>
      <c r="J24" s="236">
        <v>4628.9399999999996</v>
      </c>
      <c r="K24" s="236">
        <v>3958.991</v>
      </c>
      <c r="L24" s="237">
        <v>4592.9069999999992</v>
      </c>
    </row>
    <row r="25" spans="2:20" x14ac:dyDescent="0.3">
      <c r="B25" s="228" t="s">
        <v>377</v>
      </c>
      <c r="C25" s="409" t="s">
        <v>377</v>
      </c>
      <c r="D25" s="235"/>
      <c r="E25" s="236"/>
      <c r="F25" s="236"/>
      <c r="G25" s="236"/>
      <c r="H25" s="236"/>
      <c r="I25" s="236"/>
      <c r="J25" s="236">
        <v>1759.09</v>
      </c>
      <c r="K25" s="236">
        <v>1081.7829999999999</v>
      </c>
      <c r="L25" s="237">
        <v>0</v>
      </c>
    </row>
    <row r="26" spans="2:20" ht="15" thickBot="1" x14ac:dyDescent="0.35">
      <c r="B26" s="410" t="s">
        <v>370</v>
      </c>
      <c r="C26" s="406"/>
      <c r="D26" s="235"/>
      <c r="E26" s="236"/>
      <c r="F26" s="236"/>
      <c r="G26" s="236"/>
      <c r="H26" s="236"/>
      <c r="I26" s="236"/>
      <c r="J26" s="236"/>
      <c r="K26" s="236"/>
      <c r="L26" s="237">
        <v>1600.13</v>
      </c>
    </row>
    <row r="27" spans="2:20" ht="15" thickBot="1" x14ac:dyDescent="0.35">
      <c r="B27" s="238" t="s">
        <v>353</v>
      </c>
      <c r="C27" s="238" t="s">
        <v>354</v>
      </c>
      <c r="D27" s="239">
        <f t="shared" ref="D27:I27" si="8">SUM(D15:D25)</f>
        <v>27961.509000000002</v>
      </c>
      <c r="E27" s="240">
        <f t="shared" si="8"/>
        <v>17635.012000000002</v>
      </c>
      <c r="F27" s="240">
        <f t="shared" si="8"/>
        <v>143724.31400000001</v>
      </c>
      <c r="G27" s="240">
        <f t="shared" si="8"/>
        <v>135594.80825</v>
      </c>
      <c r="H27" s="240">
        <f t="shared" si="8"/>
        <v>158340.93899999998</v>
      </c>
      <c r="I27" s="240">
        <f t="shared" si="8"/>
        <v>135809.77500000002</v>
      </c>
      <c r="J27" s="240">
        <f>SUM(J15:J25)</f>
        <v>149482.23000000001</v>
      </c>
      <c r="K27" s="240">
        <f>SUM(K15:K25)</f>
        <v>162907.59300000002</v>
      </c>
      <c r="L27" s="241">
        <f>SUM(L15:L26)</f>
        <v>198339.47983000003</v>
      </c>
    </row>
    <row r="28" spans="2:20" ht="15" thickBot="1" x14ac:dyDescent="0.35"/>
    <row r="29" spans="2:20" ht="15" thickBot="1" x14ac:dyDescent="0.35">
      <c r="B29" s="242" t="s">
        <v>366</v>
      </c>
      <c r="C29" s="242" t="s">
        <v>367</v>
      </c>
      <c r="D29" s="221">
        <v>2013</v>
      </c>
      <c r="E29" s="221">
        <f>+D29+1</f>
        <v>2014</v>
      </c>
      <c r="F29" s="221">
        <f t="shared" ref="F29:L29" si="9">+E29+1</f>
        <v>2015</v>
      </c>
      <c r="G29" s="221">
        <f t="shared" si="9"/>
        <v>2016</v>
      </c>
      <c r="H29" s="221">
        <f t="shared" si="9"/>
        <v>2017</v>
      </c>
      <c r="I29" s="221">
        <f t="shared" si="9"/>
        <v>2018</v>
      </c>
      <c r="J29" s="221">
        <f t="shared" si="9"/>
        <v>2019</v>
      </c>
      <c r="K29" s="405">
        <f t="shared" si="9"/>
        <v>2020</v>
      </c>
      <c r="L29" s="262">
        <f t="shared" si="9"/>
        <v>2021</v>
      </c>
    </row>
    <row r="30" spans="2:20" x14ac:dyDescent="0.3">
      <c r="B30" s="224" t="s">
        <v>346</v>
      </c>
      <c r="C30" s="224" t="s">
        <v>346</v>
      </c>
      <c r="D30" s="225">
        <v>290702.81</v>
      </c>
      <c r="E30" s="226">
        <v>227788</v>
      </c>
      <c r="F30" s="226">
        <v>130629</v>
      </c>
      <c r="G30" s="226">
        <v>37280.5</v>
      </c>
      <c r="H30" s="226">
        <v>27816</v>
      </c>
      <c r="I30" s="226">
        <v>27606.7</v>
      </c>
      <c r="J30" s="226">
        <v>27923.7</v>
      </c>
      <c r="K30" s="226">
        <v>28673.4</v>
      </c>
      <c r="L30" s="227">
        <v>33724.299999999996</v>
      </c>
    </row>
    <row r="31" spans="2:20" x14ac:dyDescent="0.3">
      <c r="B31" s="228" t="s">
        <v>349</v>
      </c>
      <c r="C31" s="228" t="s">
        <v>349</v>
      </c>
      <c r="D31" s="229">
        <v>169219</v>
      </c>
      <c r="E31" s="230">
        <v>150929</v>
      </c>
      <c r="F31" s="230">
        <v>147050</v>
      </c>
      <c r="G31" s="230">
        <v>184577</v>
      </c>
      <c r="H31" s="230">
        <v>223406.5</v>
      </c>
      <c r="I31" s="230">
        <v>213003</v>
      </c>
      <c r="J31" s="230">
        <v>219231</v>
      </c>
      <c r="K31" s="230">
        <v>262146</v>
      </c>
      <c r="L31" s="231">
        <v>264355</v>
      </c>
    </row>
    <row r="32" spans="2:20" x14ac:dyDescent="0.3">
      <c r="B32" s="228" t="s">
        <v>352</v>
      </c>
      <c r="C32" s="228" t="s">
        <v>352</v>
      </c>
      <c r="D32" s="229"/>
      <c r="E32" s="230"/>
      <c r="F32" s="230">
        <v>398032</v>
      </c>
      <c r="G32" s="230">
        <v>416031</v>
      </c>
      <c r="H32" s="230">
        <v>442352</v>
      </c>
      <c r="I32" s="230">
        <v>400779</v>
      </c>
      <c r="J32" s="230">
        <v>411242</v>
      </c>
      <c r="K32" s="230">
        <v>365819</v>
      </c>
      <c r="L32" s="231">
        <v>446098.92999999993</v>
      </c>
    </row>
    <row r="33" spans="2:14" x14ac:dyDescent="0.3">
      <c r="B33" s="228" t="s">
        <v>355</v>
      </c>
      <c r="C33" s="228" t="s">
        <v>355</v>
      </c>
      <c r="D33" s="229"/>
      <c r="E33" s="230"/>
      <c r="F33" s="230">
        <v>95932</v>
      </c>
      <c r="G33" s="230">
        <v>102667</v>
      </c>
      <c r="H33" s="230">
        <v>83486</v>
      </c>
      <c r="I33" s="230">
        <v>85752</v>
      </c>
      <c r="J33" s="230">
        <v>88644</v>
      </c>
      <c r="K33" s="230">
        <v>92203</v>
      </c>
      <c r="L33" s="231">
        <v>95250</v>
      </c>
    </row>
    <row r="34" spans="2:14" x14ac:dyDescent="0.3">
      <c r="B34" s="228" t="s">
        <v>356</v>
      </c>
      <c r="C34" s="228" t="s">
        <v>356</v>
      </c>
      <c r="D34" s="229"/>
      <c r="E34" s="230"/>
      <c r="F34" s="230">
        <v>264005</v>
      </c>
      <c r="G34" s="230">
        <v>276030.3</v>
      </c>
      <c r="H34" s="230">
        <v>291914.30000000016</v>
      </c>
      <c r="I34" s="230">
        <v>258327</v>
      </c>
      <c r="J34" s="230">
        <v>251194</v>
      </c>
      <c r="K34" s="230">
        <v>246500</v>
      </c>
      <c r="L34" s="231">
        <v>265844.55599999998</v>
      </c>
    </row>
    <row r="35" spans="2:14" x14ac:dyDescent="0.3">
      <c r="B35" s="228" t="s">
        <v>357</v>
      </c>
      <c r="C35" s="228" t="s">
        <v>357</v>
      </c>
      <c r="D35" s="229"/>
      <c r="E35" s="230"/>
      <c r="F35" s="230">
        <v>328198.63199999998</v>
      </c>
      <c r="G35" s="230">
        <v>315849.28000000003</v>
      </c>
      <c r="H35" s="230">
        <v>309596</v>
      </c>
      <c r="I35" s="230">
        <v>245518.51</v>
      </c>
      <c r="J35" s="230">
        <v>290217</v>
      </c>
      <c r="K35" s="230">
        <v>278053</v>
      </c>
      <c r="L35" s="231">
        <v>296330.20499999996</v>
      </c>
    </row>
    <row r="36" spans="2:14" ht="15" thickBot="1" x14ac:dyDescent="0.35">
      <c r="B36" s="234" t="s">
        <v>358</v>
      </c>
      <c r="C36" s="234" t="s">
        <v>358</v>
      </c>
      <c r="D36" s="235">
        <v>1597.48</v>
      </c>
      <c r="E36" s="236">
        <v>858.86</v>
      </c>
      <c r="F36" s="236">
        <v>516.74</v>
      </c>
      <c r="G36" s="236">
        <v>64.409999999999854</v>
      </c>
      <c r="H36" s="236">
        <v>1454.6000000000006</v>
      </c>
      <c r="I36" s="236">
        <v>2521.9650000000001</v>
      </c>
      <c r="J36" s="236">
        <v>2012</v>
      </c>
      <c r="K36" s="236">
        <v>0</v>
      </c>
      <c r="L36" s="237">
        <v>0</v>
      </c>
    </row>
    <row r="37" spans="2:14" ht="15" thickBot="1" x14ac:dyDescent="0.35">
      <c r="B37" s="238" t="s">
        <v>353</v>
      </c>
      <c r="C37" s="238" t="s">
        <v>354</v>
      </c>
      <c r="D37" s="239">
        <f>SUM(D30:D36)</f>
        <v>461519.29</v>
      </c>
      <c r="E37" s="240">
        <f t="shared" ref="E37:J37" si="10">SUM(E30:E36)</f>
        <v>379575.86</v>
      </c>
      <c r="F37" s="240">
        <f t="shared" si="10"/>
        <v>1364363.372</v>
      </c>
      <c r="G37" s="240">
        <f t="shared" si="10"/>
        <v>1332499.49</v>
      </c>
      <c r="H37" s="240">
        <f t="shared" si="10"/>
        <v>1380025.4000000004</v>
      </c>
      <c r="I37" s="240">
        <f t="shared" si="10"/>
        <v>1233508.175</v>
      </c>
      <c r="J37" s="240">
        <f t="shared" si="10"/>
        <v>1290463.7</v>
      </c>
      <c r="K37" s="240">
        <f>SUM(K30:K36)</f>
        <v>1273394.3999999999</v>
      </c>
      <c r="L37" s="241">
        <f>SUM(L30:L36)</f>
        <v>1401602.9909999999</v>
      </c>
    </row>
    <row r="38" spans="2:14" ht="15" thickBot="1" x14ac:dyDescent="0.35"/>
    <row r="39" spans="2:14" ht="15" thickBot="1" x14ac:dyDescent="0.35">
      <c r="B39" s="242" t="s">
        <v>368</v>
      </c>
      <c r="C39" s="242" t="s">
        <v>360</v>
      </c>
      <c r="D39" s="221">
        <v>2013</v>
      </c>
      <c r="E39" s="221">
        <f>+D39+1</f>
        <v>2014</v>
      </c>
      <c r="F39" s="221">
        <f t="shared" ref="F39:L39" si="11">+E39+1</f>
        <v>2015</v>
      </c>
      <c r="G39" s="221">
        <f t="shared" si="11"/>
        <v>2016</v>
      </c>
      <c r="H39" s="221">
        <f t="shared" si="11"/>
        <v>2017</v>
      </c>
      <c r="I39" s="221">
        <f t="shared" si="11"/>
        <v>2018</v>
      </c>
      <c r="J39" s="221">
        <f t="shared" si="11"/>
        <v>2019</v>
      </c>
      <c r="K39" s="405">
        <f t="shared" si="11"/>
        <v>2020</v>
      </c>
      <c r="L39" s="262">
        <f t="shared" si="11"/>
        <v>2021</v>
      </c>
    </row>
    <row r="40" spans="2:14" x14ac:dyDescent="0.3">
      <c r="B40" s="243" t="s">
        <v>364</v>
      </c>
      <c r="C40" s="243" t="s">
        <v>364</v>
      </c>
      <c r="D40" s="264">
        <v>4617.8999999999996</v>
      </c>
      <c r="E40" s="265">
        <v>4353.5079999999998</v>
      </c>
      <c r="F40" s="265">
        <v>4684.277</v>
      </c>
      <c r="G40" s="265">
        <v>4616.6859999999997</v>
      </c>
      <c r="H40" s="265">
        <v>5002.4189999999999</v>
      </c>
      <c r="I40" s="265">
        <v>1557</v>
      </c>
      <c r="J40" s="265">
        <v>0</v>
      </c>
      <c r="K40" s="265">
        <v>0</v>
      </c>
      <c r="L40" s="266">
        <v>0</v>
      </c>
    </row>
    <row r="41" spans="2:14" x14ac:dyDescent="0.3">
      <c r="B41" s="228" t="s">
        <v>363</v>
      </c>
      <c r="C41" s="228" t="s">
        <v>363</v>
      </c>
      <c r="D41" s="229">
        <v>5709.7179999999998</v>
      </c>
      <c r="E41" s="230">
        <v>5269.5360000000001</v>
      </c>
      <c r="F41" s="230">
        <v>5590.1059999999998</v>
      </c>
      <c r="G41" s="230">
        <v>5355.4750000000004</v>
      </c>
      <c r="H41" s="230">
        <v>1472</v>
      </c>
      <c r="I41" s="230">
        <v>0</v>
      </c>
      <c r="J41" s="230">
        <v>0</v>
      </c>
      <c r="K41" s="230">
        <v>0</v>
      </c>
      <c r="L41" s="231">
        <v>0</v>
      </c>
    </row>
    <row r="42" spans="2:14" x14ac:dyDescent="0.3">
      <c r="B42" s="228" t="s">
        <v>365</v>
      </c>
      <c r="C42" s="228" t="s">
        <v>365</v>
      </c>
      <c r="D42" s="229">
        <v>5019.6297930000001</v>
      </c>
      <c r="E42" s="230">
        <v>5045.6790000000001</v>
      </c>
      <c r="F42" s="230">
        <v>5032.7039999999997</v>
      </c>
      <c r="G42" s="230">
        <v>5052.1930000000002</v>
      </c>
      <c r="H42" s="230">
        <v>5228.8109999999997</v>
      </c>
      <c r="I42" s="230">
        <v>0</v>
      </c>
      <c r="J42" s="230">
        <v>0</v>
      </c>
      <c r="K42" s="230">
        <v>0</v>
      </c>
      <c r="L42" s="231">
        <v>0</v>
      </c>
    </row>
    <row r="43" spans="2:14" x14ac:dyDescent="0.3">
      <c r="B43" s="228" t="s">
        <v>369</v>
      </c>
      <c r="C43" s="228" t="s">
        <v>369</v>
      </c>
      <c r="D43" s="229">
        <v>2634.049</v>
      </c>
      <c r="E43" s="230">
        <v>2839.1370000000002</v>
      </c>
      <c r="F43" s="230">
        <v>3245.422</v>
      </c>
      <c r="G43" s="230">
        <v>3310.5720000000001</v>
      </c>
      <c r="H43" s="230">
        <v>2709.32</v>
      </c>
      <c r="I43" s="230">
        <v>1853.383</v>
      </c>
      <c r="J43" s="230">
        <v>1663.06</v>
      </c>
      <c r="K43" s="230">
        <v>247.32</v>
      </c>
      <c r="L43" s="231">
        <v>1850.3045</v>
      </c>
    </row>
    <row r="44" spans="2:14" x14ac:dyDescent="0.3">
      <c r="B44" s="228" t="s">
        <v>415</v>
      </c>
      <c r="C44" s="228"/>
      <c r="D44" s="229"/>
      <c r="E44" s="230"/>
      <c r="F44" s="230"/>
      <c r="G44" s="230"/>
      <c r="H44" s="230"/>
      <c r="I44" s="230"/>
      <c r="J44" s="230">
        <v>37575.68</v>
      </c>
      <c r="K44" s="230">
        <v>53918.726999999999</v>
      </c>
      <c r="L44" s="231">
        <v>58785.404999999999</v>
      </c>
    </row>
    <row r="45" spans="2:14" x14ac:dyDescent="0.3">
      <c r="B45" s="228" t="s">
        <v>416</v>
      </c>
      <c r="C45" s="228"/>
      <c r="D45" s="229"/>
      <c r="E45" s="230"/>
      <c r="F45" s="230"/>
      <c r="G45" s="230"/>
      <c r="H45" s="230"/>
      <c r="I45" s="230"/>
      <c r="J45" s="230"/>
      <c r="K45" s="230">
        <v>7011.4</v>
      </c>
      <c r="L45" s="231">
        <v>28251.642</v>
      </c>
    </row>
    <row r="46" spans="2:14" x14ac:dyDescent="0.3">
      <c r="B46" s="228" t="s">
        <v>370</v>
      </c>
      <c r="C46" s="228" t="s">
        <v>370</v>
      </c>
      <c r="D46" s="229">
        <v>4558.9009999999998</v>
      </c>
      <c r="E46" s="230">
        <v>4048.6118287499999</v>
      </c>
      <c r="F46" s="230">
        <v>3464.99</v>
      </c>
      <c r="G46" s="230">
        <v>3205.46</v>
      </c>
      <c r="H46" s="230">
        <v>2236.4459999999999</v>
      </c>
      <c r="I46" s="230">
        <v>3188.8270000000002</v>
      </c>
      <c r="J46" s="230">
        <v>2579.79</v>
      </c>
      <c r="K46" s="230">
        <v>0</v>
      </c>
      <c r="L46" s="231">
        <v>0</v>
      </c>
    </row>
    <row r="47" spans="2:14" x14ac:dyDescent="0.3">
      <c r="B47" s="228" t="s">
        <v>371</v>
      </c>
      <c r="C47" s="228" t="s">
        <v>371</v>
      </c>
      <c r="D47" s="229"/>
      <c r="E47" s="230"/>
      <c r="F47" s="230"/>
      <c r="G47" s="230"/>
      <c r="H47" s="230">
        <v>1224.799</v>
      </c>
      <c r="I47" s="230">
        <v>2647.848</v>
      </c>
      <c r="J47" s="230">
        <v>1017.87</v>
      </c>
      <c r="K47" s="230">
        <v>3477.7</v>
      </c>
      <c r="L47" s="231">
        <v>2917.94</v>
      </c>
      <c r="N47" s="43"/>
    </row>
    <row r="48" spans="2:14" x14ac:dyDescent="0.3">
      <c r="B48" s="228" t="s">
        <v>372</v>
      </c>
      <c r="C48" s="228" t="s">
        <v>372</v>
      </c>
      <c r="D48" s="229">
        <v>1135.662</v>
      </c>
      <c r="E48" s="230">
        <v>1048.71</v>
      </c>
      <c r="F48" s="230">
        <v>902.10900000000004</v>
      </c>
      <c r="G48" s="230">
        <v>712.56899999999996</v>
      </c>
      <c r="H48" s="230">
        <v>670.67200000000003</v>
      </c>
      <c r="I48" s="230">
        <v>816.58600000000001</v>
      </c>
      <c r="J48" s="230">
        <v>421.13600000000002</v>
      </c>
      <c r="K48" s="230">
        <v>0</v>
      </c>
      <c r="L48" s="231">
        <v>0</v>
      </c>
    </row>
    <row r="49" spans="2:14" x14ac:dyDescent="0.3">
      <c r="B49" s="228" t="s">
        <v>373</v>
      </c>
      <c r="C49" s="228" t="s">
        <v>373</v>
      </c>
      <c r="D49" s="229">
        <v>2637.5347879999999</v>
      </c>
      <c r="E49" s="230">
        <v>2429.3680445999998</v>
      </c>
      <c r="F49" s="230">
        <v>1874.4763249999999</v>
      </c>
      <c r="G49" s="230">
        <v>1490.8600749999998</v>
      </c>
      <c r="H49" s="230">
        <v>994.73</v>
      </c>
      <c r="I49" s="230">
        <v>408.49</v>
      </c>
      <c r="J49" s="230">
        <v>0</v>
      </c>
      <c r="K49" s="230">
        <v>0</v>
      </c>
      <c r="L49" s="231">
        <v>0</v>
      </c>
    </row>
    <row r="50" spans="2:14" x14ac:dyDescent="0.3">
      <c r="B50" s="228" t="s">
        <v>374</v>
      </c>
      <c r="C50" s="228" t="s">
        <v>375</v>
      </c>
      <c r="D50" s="229"/>
      <c r="E50" s="230"/>
      <c r="F50" s="230"/>
      <c r="G50" s="230">
        <v>0</v>
      </c>
      <c r="H50" s="230">
        <v>0</v>
      </c>
      <c r="I50" s="230">
        <v>0</v>
      </c>
      <c r="J50" s="230">
        <v>0</v>
      </c>
      <c r="K50" s="230">
        <v>0</v>
      </c>
      <c r="L50" s="231">
        <v>0</v>
      </c>
    </row>
    <row r="51" spans="2:14" x14ac:dyDescent="0.3">
      <c r="B51" s="228" t="s">
        <v>376</v>
      </c>
      <c r="C51" s="228" t="s">
        <v>376</v>
      </c>
      <c r="D51" s="229"/>
      <c r="E51" s="230"/>
      <c r="F51" s="230">
        <v>4393.5739999999996</v>
      </c>
      <c r="G51" s="230">
        <v>5294.9539999999997</v>
      </c>
      <c r="H51" s="230">
        <v>4953.25</v>
      </c>
      <c r="I51" s="230">
        <v>4482.0439999999999</v>
      </c>
      <c r="J51" s="230">
        <v>4355.6002500000004</v>
      </c>
      <c r="K51" s="230">
        <v>5314.29</v>
      </c>
      <c r="L51" s="231">
        <v>4916.6847500000003</v>
      </c>
    </row>
    <row r="52" spans="2:14" x14ac:dyDescent="0.3">
      <c r="B52" s="228" t="s">
        <v>377</v>
      </c>
      <c r="C52" s="228" t="s">
        <v>377</v>
      </c>
      <c r="D52" s="229"/>
      <c r="E52" s="230"/>
      <c r="F52" s="230">
        <v>3274.5059999999999</v>
      </c>
      <c r="G52" s="230">
        <v>2482.5410000000002</v>
      </c>
      <c r="H52" s="230">
        <v>3632.91</v>
      </c>
      <c r="I52" s="230">
        <v>3253.8150000000001</v>
      </c>
      <c r="J52" s="230">
        <v>0</v>
      </c>
      <c r="K52" s="230">
        <v>0</v>
      </c>
      <c r="L52" s="231">
        <v>6140.8289999999997</v>
      </c>
    </row>
    <row r="53" spans="2:14" x14ac:dyDescent="0.3">
      <c r="B53" s="228" t="s">
        <v>378</v>
      </c>
      <c r="C53" s="228" t="s">
        <v>378</v>
      </c>
      <c r="D53" s="229"/>
      <c r="E53" s="230"/>
      <c r="F53" s="230"/>
      <c r="G53" s="230"/>
      <c r="H53" s="230"/>
      <c r="I53" s="230">
        <v>2758</v>
      </c>
      <c r="J53" s="230">
        <v>2765.25</v>
      </c>
      <c r="K53" s="230">
        <v>2870.989</v>
      </c>
      <c r="L53" s="231">
        <v>3012.8649999999998</v>
      </c>
    </row>
    <row r="54" spans="2:14" x14ac:dyDescent="0.3">
      <c r="B54" s="228" t="s">
        <v>379</v>
      </c>
      <c r="C54" s="228" t="s">
        <v>379</v>
      </c>
      <c r="D54" s="229"/>
      <c r="E54" s="230"/>
      <c r="F54" s="230"/>
      <c r="G54" s="230"/>
      <c r="H54" s="230"/>
      <c r="I54" s="230">
        <v>146.03</v>
      </c>
      <c r="J54" s="230">
        <v>6449.22</v>
      </c>
      <c r="K54" s="230">
        <v>6309.9489999999996</v>
      </c>
      <c r="L54" s="231">
        <v>6472.1545454545403</v>
      </c>
    </row>
    <row r="55" spans="2:14" x14ac:dyDescent="0.3">
      <c r="B55" s="228" t="s">
        <v>403</v>
      </c>
      <c r="C55" s="228" t="s">
        <v>403</v>
      </c>
      <c r="D55" s="229"/>
      <c r="E55" s="230"/>
      <c r="F55" s="230"/>
      <c r="G55" s="230"/>
      <c r="H55" s="230"/>
      <c r="I55" s="230"/>
      <c r="J55" s="230">
        <v>5484.03</v>
      </c>
      <c r="K55" s="230">
        <v>8660.3649999999998</v>
      </c>
      <c r="L55" s="231">
        <v>7880.8080808080804</v>
      </c>
    </row>
    <row r="56" spans="2:14" ht="15" thickBot="1" x14ac:dyDescent="0.35">
      <c r="B56" s="234" t="s">
        <v>404</v>
      </c>
      <c r="C56" s="234" t="s">
        <v>405</v>
      </c>
      <c r="D56" s="244"/>
      <c r="E56" s="245"/>
      <c r="F56" s="245"/>
      <c r="G56" s="245"/>
      <c r="H56" s="245"/>
      <c r="I56" s="245"/>
      <c r="J56" s="245">
        <v>6144.62</v>
      </c>
      <c r="K56" s="245">
        <v>12020.335999999999</v>
      </c>
      <c r="L56" s="246">
        <v>12395.097979798</v>
      </c>
    </row>
    <row r="57" spans="2:14" ht="15" thickBot="1" x14ac:dyDescent="0.35">
      <c r="B57" s="238" t="s">
        <v>353</v>
      </c>
      <c r="C57" s="238" t="s">
        <v>354</v>
      </c>
      <c r="D57" s="239">
        <f t="shared" ref="D57:I57" si="12">SUM(D40:D56)</f>
        <v>26313.394581</v>
      </c>
      <c r="E57" s="240">
        <f t="shared" si="12"/>
        <v>25034.549873349999</v>
      </c>
      <c r="F57" s="240">
        <f t="shared" si="12"/>
        <v>32462.164324999998</v>
      </c>
      <c r="G57" s="240">
        <f t="shared" si="12"/>
        <v>31521.310074999998</v>
      </c>
      <c r="H57" s="240">
        <f t="shared" si="12"/>
        <v>28125.356999999996</v>
      </c>
      <c r="I57" s="240">
        <f t="shared" si="12"/>
        <v>21112.022999999997</v>
      </c>
      <c r="J57" s="240">
        <f>SUM(J40:J56)</f>
        <v>68456.256250000006</v>
      </c>
      <c r="K57" s="240">
        <f>SUM(K40:K56)</f>
        <v>99831.075999999986</v>
      </c>
      <c r="L57" s="241">
        <f>SUM(L40:L56)</f>
        <v>132623.73085606063</v>
      </c>
    </row>
    <row r="59" spans="2:14" ht="15" thickBot="1" x14ac:dyDescent="0.35">
      <c r="N59" s="43"/>
    </row>
    <row r="60" spans="2:14" ht="15" thickBot="1" x14ac:dyDescent="0.35">
      <c r="B60" s="242" t="s">
        <v>380</v>
      </c>
      <c r="C60" s="242" t="s">
        <v>381</v>
      </c>
      <c r="D60" s="221">
        <v>2013</v>
      </c>
      <c r="E60" s="221">
        <f>+D60+1</f>
        <v>2014</v>
      </c>
      <c r="F60" s="221">
        <f t="shared" ref="F60:J60" si="13">+E60+1</f>
        <v>2015</v>
      </c>
      <c r="G60" s="221">
        <f t="shared" si="13"/>
        <v>2016</v>
      </c>
      <c r="H60" s="221">
        <f t="shared" si="13"/>
        <v>2017</v>
      </c>
      <c r="I60" s="221">
        <f t="shared" si="13"/>
        <v>2018</v>
      </c>
      <c r="J60" s="221">
        <f t="shared" si="13"/>
        <v>2019</v>
      </c>
      <c r="K60" s="405">
        <v>2020</v>
      </c>
      <c r="L60" s="262">
        <f>+K60+1</f>
        <v>2021</v>
      </c>
      <c r="N60" s="43"/>
    </row>
    <row r="61" spans="2:14" x14ac:dyDescent="0.3">
      <c r="B61" s="224" t="s">
        <v>382</v>
      </c>
      <c r="C61" s="224" t="s">
        <v>383</v>
      </c>
      <c r="D61" s="251">
        <v>7.1</v>
      </c>
      <c r="E61" s="252">
        <v>7.1</v>
      </c>
      <c r="F61" s="252">
        <v>7.1</v>
      </c>
      <c r="G61" s="252">
        <v>7.1</v>
      </c>
      <c r="H61" s="252">
        <v>7.1</v>
      </c>
      <c r="I61" s="252">
        <v>7.1</v>
      </c>
      <c r="J61" s="252">
        <v>32.1</v>
      </c>
      <c r="K61" s="252">
        <v>47.1</v>
      </c>
      <c r="L61" s="253">
        <v>47.1</v>
      </c>
    </row>
    <row r="62" spans="2:14" x14ac:dyDescent="0.3">
      <c r="B62" s="228" t="s">
        <v>384</v>
      </c>
      <c r="C62" s="228" t="s">
        <v>385</v>
      </c>
      <c r="D62" s="254">
        <v>1.4</v>
      </c>
      <c r="E62" s="255">
        <v>1.4</v>
      </c>
      <c r="F62" s="255">
        <v>1.4</v>
      </c>
      <c r="G62" s="255">
        <v>1.4</v>
      </c>
      <c r="H62" s="255">
        <v>1.4</v>
      </c>
      <c r="I62" s="255">
        <v>1.4</v>
      </c>
      <c r="J62" s="255">
        <v>1.4</v>
      </c>
      <c r="K62" s="255">
        <v>1.91</v>
      </c>
      <c r="L62" s="256">
        <v>1.91</v>
      </c>
    </row>
    <row r="63" spans="2:14" x14ac:dyDescent="0.3">
      <c r="B63" s="228" t="s">
        <v>386</v>
      </c>
      <c r="C63" s="228" t="s">
        <v>387</v>
      </c>
      <c r="D63" s="254"/>
      <c r="E63" s="255"/>
      <c r="F63" s="255"/>
      <c r="G63" s="255"/>
      <c r="H63" s="255">
        <v>2</v>
      </c>
      <c r="I63" s="255">
        <v>6</v>
      </c>
      <c r="J63" s="255">
        <v>19.12</v>
      </c>
      <c r="K63" s="255">
        <v>19.12</v>
      </c>
      <c r="L63" s="256">
        <v>19.12</v>
      </c>
    </row>
    <row r="64" spans="2:14" ht="15" thickBot="1" x14ac:dyDescent="0.35">
      <c r="B64" s="257" t="s">
        <v>388</v>
      </c>
      <c r="C64" s="257" t="s">
        <v>389</v>
      </c>
      <c r="D64" s="235"/>
      <c r="E64" s="236"/>
      <c r="F64" s="258">
        <f>0.625+0.143+0.499</f>
        <v>1.2669999999999999</v>
      </c>
      <c r="G64" s="258">
        <f>0.625+0.143+0.499</f>
        <v>1.2669999999999999</v>
      </c>
      <c r="H64" s="258">
        <f>0.625+0.143+0.499+0.499</f>
        <v>1.766</v>
      </c>
      <c r="I64" s="258">
        <f>+H64-0.499</f>
        <v>1.2669999999999999</v>
      </c>
      <c r="J64" s="258">
        <f>0.625+0.499</f>
        <v>1.1240000000000001</v>
      </c>
      <c r="K64" s="258">
        <v>1.1200000000000001</v>
      </c>
      <c r="L64" s="281">
        <v>1.1200000000000001</v>
      </c>
    </row>
    <row r="65" spans="2:12" ht="15" thickBot="1" x14ac:dyDescent="0.35">
      <c r="B65" s="238" t="s">
        <v>353</v>
      </c>
      <c r="C65" s="238" t="s">
        <v>354</v>
      </c>
      <c r="D65" s="239"/>
      <c r="E65" s="240"/>
      <c r="F65" s="240"/>
      <c r="G65" s="240">
        <f>SUM(G61:G64)</f>
        <v>9.7669999999999995</v>
      </c>
      <c r="H65" s="240">
        <f t="shared" ref="H65:I65" si="14">SUM(H61:H64)</f>
        <v>12.266</v>
      </c>
      <c r="I65" s="240">
        <f t="shared" si="14"/>
        <v>15.766999999999999</v>
      </c>
      <c r="J65" s="280">
        <f>SUM(J61:J64)</f>
        <v>53.744000000000007</v>
      </c>
      <c r="K65" s="280">
        <f>SUM(K61:K64)</f>
        <v>69.25</v>
      </c>
      <c r="L65" s="259">
        <f>SUM(L61:L64)</f>
        <v>69.25</v>
      </c>
    </row>
    <row r="66" spans="2:12" ht="15" thickBot="1" x14ac:dyDescent="0.35">
      <c r="B66" s="247"/>
      <c r="C66" s="247"/>
      <c r="D66" s="43"/>
      <c r="E66" s="43"/>
      <c r="F66" s="43"/>
      <c r="G66" s="43"/>
      <c r="H66" s="43"/>
      <c r="I66" s="260"/>
      <c r="J66" s="260"/>
      <c r="K66" s="260"/>
      <c r="L66" s="260"/>
    </row>
    <row r="67" spans="2:12" ht="24.6" thickBot="1" x14ac:dyDescent="0.35">
      <c r="B67" s="242" t="s">
        <v>390</v>
      </c>
      <c r="C67" s="261" t="s">
        <v>391</v>
      </c>
      <c r="D67" s="285">
        <v>2013</v>
      </c>
      <c r="E67" s="221">
        <f>+D67+1</f>
        <v>2014</v>
      </c>
      <c r="F67" s="221">
        <f t="shared" ref="F67:I67" si="15">+E67+1</f>
        <v>2015</v>
      </c>
      <c r="G67" s="221">
        <f t="shared" si="15"/>
        <v>2016</v>
      </c>
      <c r="H67" s="221">
        <f t="shared" si="15"/>
        <v>2017</v>
      </c>
      <c r="I67" s="286">
        <f t="shared" si="15"/>
        <v>2018</v>
      </c>
      <c r="J67" s="286">
        <f t="shared" ref="J67" si="16">+I67+1</f>
        <v>2019</v>
      </c>
      <c r="K67" s="286">
        <f t="shared" ref="K67:L67" si="17">+J67+1</f>
        <v>2020</v>
      </c>
      <c r="L67" s="262">
        <f t="shared" si="17"/>
        <v>2021</v>
      </c>
    </row>
    <row r="68" spans="2:12" x14ac:dyDescent="0.3">
      <c r="B68" s="224" t="s">
        <v>392</v>
      </c>
      <c r="C68" s="224" t="s">
        <v>393</v>
      </c>
      <c r="D68" s="288"/>
      <c r="E68" s="252"/>
      <c r="F68" s="252">
        <v>30</v>
      </c>
      <c r="G68" s="252">
        <f>+F68</f>
        <v>30</v>
      </c>
      <c r="H68" s="282">
        <f>+G68</f>
        <v>30</v>
      </c>
      <c r="I68" s="252">
        <v>48</v>
      </c>
      <c r="J68" s="252">
        <f>+I68</f>
        <v>48</v>
      </c>
      <c r="K68" s="252">
        <v>66.05</v>
      </c>
      <c r="L68" s="253">
        <v>66.05</v>
      </c>
    </row>
    <row r="69" spans="2:12" x14ac:dyDescent="0.3">
      <c r="B69" s="228" t="s">
        <v>394</v>
      </c>
      <c r="C69" s="228" t="s">
        <v>395</v>
      </c>
      <c r="D69" s="289"/>
      <c r="E69" s="255"/>
      <c r="F69" s="255"/>
      <c r="G69" s="255"/>
      <c r="H69" s="283"/>
      <c r="I69" s="255">
        <v>6</v>
      </c>
      <c r="J69" s="255">
        <v>6</v>
      </c>
      <c r="K69" s="255">
        <v>6</v>
      </c>
      <c r="L69" s="256">
        <v>11</v>
      </c>
    </row>
    <row r="70" spans="2:12" ht="15" thickBot="1" x14ac:dyDescent="0.35">
      <c r="B70" s="250" t="s">
        <v>396</v>
      </c>
      <c r="C70" s="250" t="s">
        <v>397</v>
      </c>
      <c r="D70" s="290"/>
      <c r="E70" s="263"/>
      <c r="F70" s="263"/>
      <c r="G70" s="263">
        <v>0</v>
      </c>
      <c r="H70" s="284">
        <v>1.8</v>
      </c>
      <c r="I70" s="255">
        <v>5.8</v>
      </c>
      <c r="J70" s="255">
        <f>2+2+1.8+0.5</f>
        <v>6.3</v>
      </c>
      <c r="K70" s="255">
        <v>6.3</v>
      </c>
      <c r="L70" s="256">
        <v>6.3</v>
      </c>
    </row>
    <row r="71" spans="2:12" ht="15" thickBot="1" x14ac:dyDescent="0.35">
      <c r="B71" s="238" t="s">
        <v>353</v>
      </c>
      <c r="C71" s="238" t="s">
        <v>354</v>
      </c>
      <c r="D71" s="287"/>
      <c r="E71" s="240">
        <f t="shared" ref="E71:I71" si="18">SUM(E68:E70)</f>
        <v>0</v>
      </c>
      <c r="F71" s="240">
        <f t="shared" si="18"/>
        <v>30</v>
      </c>
      <c r="G71" s="240">
        <f t="shared" si="18"/>
        <v>30</v>
      </c>
      <c r="H71" s="240">
        <f t="shared" si="18"/>
        <v>31.8</v>
      </c>
      <c r="I71" s="240">
        <f t="shared" si="18"/>
        <v>59.8</v>
      </c>
      <c r="J71" s="240">
        <f>SUM(J68:J70)</f>
        <v>60.3</v>
      </c>
      <c r="K71" s="240">
        <f>SUM(K68:K70)</f>
        <v>78.349999999999994</v>
      </c>
      <c r="L71" s="241">
        <f>SUM(L68:L70)</f>
        <v>83.35</v>
      </c>
    </row>
    <row r="72" spans="2:12" x14ac:dyDescent="0.3">
      <c r="B72" s="247"/>
      <c r="C72" s="247"/>
      <c r="D72" s="43"/>
      <c r="E72" s="43"/>
      <c r="F72" s="43"/>
      <c r="G72" s="43"/>
      <c r="H72" s="43"/>
      <c r="I72" s="260"/>
      <c r="J72" s="260"/>
      <c r="K72" s="260"/>
      <c r="L72" s="260"/>
    </row>
    <row r="73" spans="2:12" x14ac:dyDescent="0.3">
      <c r="B73" s="247"/>
      <c r="C73" s="247"/>
      <c r="D73" s="43"/>
      <c r="E73" s="43"/>
      <c r="F73" s="43"/>
      <c r="G73" s="43"/>
      <c r="H73" s="43"/>
      <c r="I73" s="260"/>
      <c r="J73" s="260"/>
      <c r="K73" s="260"/>
      <c r="L73" s="260"/>
    </row>
    <row r="74" spans="2:12" x14ac:dyDescent="0.3">
      <c r="B74" s="247"/>
      <c r="C74" s="247"/>
      <c r="D74" s="43"/>
      <c r="E74" s="43"/>
      <c r="F74" s="43"/>
      <c r="G74" s="43"/>
      <c r="H74" s="43"/>
      <c r="I74" s="260"/>
      <c r="J74" s="260"/>
      <c r="K74" s="260"/>
      <c r="L74" s="260"/>
    </row>
    <row r="77" spans="2:12" x14ac:dyDescent="0.3">
      <c r="G77" s="260"/>
      <c r="J77" s="260"/>
      <c r="K77" s="260"/>
      <c r="L77" s="260"/>
    </row>
    <row r="78" spans="2:12" x14ac:dyDescent="0.3">
      <c r="G78" s="260"/>
      <c r="J78" s="260"/>
      <c r="K78" s="260"/>
      <c r="L78" s="260"/>
    </row>
    <row r="79" spans="2:12" x14ac:dyDescent="0.3">
      <c r="G79" s="260"/>
      <c r="J79" s="260"/>
      <c r="K79" s="260"/>
      <c r="L79" s="26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éves P&amp;L_mérleg</vt:lpstr>
      <vt:lpstr>féléves P&amp;L_mérleg</vt:lpstr>
      <vt:lpstr>negyedéves P&amp;L_mérleg</vt:lpstr>
      <vt:lpstr>szegmensek</vt:lpstr>
      <vt:lpstr>szegmensek új </vt:lpstr>
      <vt:lpstr>szegmensek - féléves</vt:lpstr>
      <vt:lpstr>naturáliák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Szécsi Balázs</dc:creator>
  <cp:lastModifiedBy>Szécsi Balázs</cp:lastModifiedBy>
  <dcterms:created xsi:type="dcterms:W3CDTF">2018-10-09T07:53:33Z</dcterms:created>
  <dcterms:modified xsi:type="dcterms:W3CDTF">2022-05-06T08:51:06Z</dcterms:modified>
</cp:coreProperties>
</file>