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Jog\Közzétételek\2021\2021.03.01_2020_Q4_bef_prezi\Final\"/>
    </mc:Choice>
  </mc:AlternateContent>
  <xr:revisionPtr revIDLastSave="0" documentId="13_ncr:1_{6EE11E22-BEB4-4E14-9539-9145AE5EC4B7}" xr6:coauthVersionLast="46" xr6:coauthVersionMax="46" xr10:uidLastSave="{00000000-0000-0000-0000-000000000000}"/>
  <bookViews>
    <workbookView xWindow="-108" yWindow="-108" windowWidth="23256" windowHeight="12576" xr2:uid="{605E8432-BFCE-4AA3-ADCE-7EBCE3D69CA7}"/>
  </bookViews>
  <sheets>
    <sheet name="éves P&amp;L_mérleg" sheetId="1" r:id="rId1"/>
    <sheet name="féléves P&amp;L_mérleg" sheetId="2" r:id="rId2"/>
    <sheet name="negyedéves P&amp;L_mérleg" sheetId="8" r:id="rId3"/>
    <sheet name="szegmensek" sheetId="5" state="hidden" r:id="rId4"/>
    <sheet name="szegmensek új " sheetId="11" r:id="rId5"/>
    <sheet name="szegmensek - féléves" sheetId="7" r:id="rId6"/>
    <sheet name="naturáliák" sheetId="12" r:id="rId7"/>
  </sheets>
  <externalReferences>
    <externalReference r:id="rId8"/>
    <externalReference r:id="rId9"/>
  </externalReferences>
  <calcPr calcId="191029" calcMode="autoNoTable" iterate="1" iterateCount="300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4" i="1" l="1"/>
  <c r="K87" i="1"/>
  <c r="K75" i="1"/>
  <c r="K77" i="1" s="1"/>
  <c r="K80" i="1" s="1"/>
  <c r="V6" i="12"/>
  <c r="V3" i="12"/>
  <c r="K70" i="12"/>
  <c r="J66" i="12"/>
  <c r="K66" i="12" s="1"/>
  <c r="K64" i="12"/>
  <c r="K56" i="12"/>
  <c r="K36" i="12"/>
  <c r="K11" i="12"/>
  <c r="K26" i="12"/>
  <c r="H92" i="11" l="1"/>
  <c r="H91" i="11"/>
  <c r="I90" i="11"/>
  <c r="H90" i="11"/>
  <c r="I84" i="11" l="1"/>
  <c r="I85" i="11" s="1"/>
  <c r="H84" i="11"/>
  <c r="H85" i="11" s="1"/>
  <c r="I72" i="11"/>
  <c r="I73" i="11" s="1"/>
  <c r="H72" i="11"/>
  <c r="H73" i="11" s="1"/>
  <c r="I60" i="11"/>
  <c r="I61" i="11" s="1"/>
  <c r="H60" i="11"/>
  <c r="H61" i="11" s="1"/>
  <c r="I48" i="11"/>
  <c r="H48" i="11"/>
  <c r="H49" i="11" s="1"/>
  <c r="I36" i="11"/>
  <c r="I37" i="11" s="1"/>
  <c r="H36" i="11"/>
  <c r="H37" i="11" s="1"/>
  <c r="F64" i="7"/>
  <c r="F63" i="7"/>
  <c r="F57" i="7"/>
  <c r="F56" i="7"/>
  <c r="F50" i="7"/>
  <c r="F49" i="7"/>
  <c r="F43" i="7"/>
  <c r="F42" i="7"/>
  <c r="F36" i="7"/>
  <c r="F35" i="7"/>
  <c r="F29" i="7"/>
  <c r="F28" i="7"/>
  <c r="I91" i="11" l="1"/>
  <c r="I49" i="11"/>
  <c r="I92" i="11" s="1"/>
  <c r="J37" i="11" l="1"/>
  <c r="J36" i="11"/>
  <c r="J49" i="11"/>
  <c r="J48" i="11"/>
  <c r="J61" i="11"/>
  <c r="J60" i="11"/>
  <c r="J73" i="11"/>
  <c r="J72" i="11"/>
  <c r="J85" i="11"/>
  <c r="J84" i="11"/>
  <c r="J90" i="11"/>
  <c r="J92" i="11" l="1"/>
  <c r="J91" i="11"/>
  <c r="F65" i="7" l="1"/>
  <c r="F58" i="7"/>
  <c r="F44" i="7"/>
  <c r="F37" i="7"/>
  <c r="F30" i="7"/>
  <c r="N112" i="2"/>
  <c r="N111" i="2"/>
  <c r="N110" i="2"/>
  <c r="N109" i="2"/>
  <c r="N108" i="2"/>
  <c r="N106" i="2"/>
  <c r="N105" i="2"/>
  <c r="N102" i="2"/>
  <c r="N101" i="2"/>
  <c r="N100" i="2"/>
  <c r="N99" i="2"/>
  <c r="N98" i="2"/>
  <c r="N97" i="2"/>
  <c r="N96" i="2"/>
  <c r="N93" i="2"/>
  <c r="N92" i="2"/>
  <c r="N91" i="2"/>
  <c r="N90" i="2"/>
  <c r="N89" i="2"/>
  <c r="N88" i="2"/>
  <c r="N87" i="2"/>
  <c r="N86" i="2"/>
  <c r="N85" i="2"/>
  <c r="N50" i="2"/>
  <c r="N80" i="2" s="1"/>
  <c r="AG37" i="8"/>
  <c r="AG36" i="8"/>
  <c r="AG35" i="8"/>
  <c r="AG34" i="8"/>
  <c r="AG48" i="8"/>
  <c r="AG47" i="8"/>
  <c r="AG46" i="8"/>
  <c r="AG45" i="8"/>
  <c r="AG44" i="8"/>
  <c r="AG43" i="8"/>
  <c r="AH37" i="8"/>
  <c r="AH36" i="8"/>
  <c r="AH35" i="8"/>
  <c r="AH34" i="8"/>
  <c r="AH48" i="8"/>
  <c r="AH47" i="8"/>
  <c r="AH46" i="8"/>
  <c r="AH45" i="8"/>
  <c r="AH44" i="8"/>
  <c r="AH43" i="8"/>
  <c r="AI48" i="8"/>
  <c r="AI47" i="8"/>
  <c r="AI46" i="8"/>
  <c r="AI45" i="8"/>
  <c r="AI44" i="8"/>
  <c r="AI43" i="8"/>
  <c r="AI37" i="8"/>
  <c r="AI36" i="8"/>
  <c r="AI35" i="8"/>
  <c r="AI34" i="8"/>
  <c r="AI23" i="8"/>
  <c r="AI22" i="8"/>
  <c r="AI21" i="8"/>
  <c r="AI20" i="8"/>
  <c r="AI19" i="8"/>
  <c r="AI18" i="8"/>
  <c r="AI17" i="8"/>
  <c r="AI16" i="8"/>
  <c r="AI15" i="8"/>
  <c r="AI14" i="8"/>
  <c r="AI13" i="8"/>
  <c r="AI12" i="8"/>
  <c r="AI11" i="8"/>
  <c r="AI10" i="8"/>
  <c r="AI9" i="8"/>
  <c r="AI8" i="8"/>
  <c r="AI7" i="8"/>
  <c r="AI6" i="8"/>
  <c r="AI5" i="8"/>
  <c r="R11" i="8"/>
  <c r="R13" i="8" s="1"/>
  <c r="R16" i="8" s="1"/>
  <c r="R20" i="8" s="1"/>
  <c r="F51" i="7" l="1"/>
  <c r="AH41" i="8" l="1"/>
  <c r="AI41" i="8"/>
  <c r="AG41" i="8"/>
  <c r="AH32" i="8"/>
  <c r="AI32" i="8"/>
  <c r="AG32" i="8"/>
  <c r="AG15" i="8" l="1"/>
  <c r="P11" i="8"/>
  <c r="P23" i="8" s="1"/>
  <c r="P13" i="8" l="1"/>
  <c r="P16" i="8" s="1"/>
  <c r="P20" i="8" s="1"/>
  <c r="Q11" i="8"/>
  <c r="Q23" i="8" s="1"/>
  <c r="AH23" i="8" s="1"/>
  <c r="AG5" i="8"/>
  <c r="AH5" i="8"/>
  <c r="AG6" i="8"/>
  <c r="AH6" i="8"/>
  <c r="AG7" i="8"/>
  <c r="AH7" i="8"/>
  <c r="AG8" i="8"/>
  <c r="AH8" i="8"/>
  <c r="AG9" i="8"/>
  <c r="AH9" i="8"/>
  <c r="AG10" i="8"/>
  <c r="AH10" i="8"/>
  <c r="AG11" i="8"/>
  <c r="AG12" i="8"/>
  <c r="AH12" i="8"/>
  <c r="AG13" i="8"/>
  <c r="AG14" i="8"/>
  <c r="AH14" i="8"/>
  <c r="AG16" i="8"/>
  <c r="AG17" i="8"/>
  <c r="AH17" i="8"/>
  <c r="AG18" i="8"/>
  <c r="AH18" i="8"/>
  <c r="AG19" i="8"/>
  <c r="AH19" i="8"/>
  <c r="AG20" i="8"/>
  <c r="AG21" i="8"/>
  <c r="AH21" i="8"/>
  <c r="AG22" i="8"/>
  <c r="AH22" i="8"/>
  <c r="AG23" i="8"/>
  <c r="AG33" i="8"/>
  <c r="AH33" i="8"/>
  <c r="AI33" i="8"/>
  <c r="AG40" i="8"/>
  <c r="AH40" i="8"/>
  <c r="AI40" i="8"/>
  <c r="AG42" i="8"/>
  <c r="AH42" i="8" s="1"/>
  <c r="AI42" i="8" s="1"/>
  <c r="F46" i="2"/>
  <c r="M46" i="2" s="1"/>
  <c r="F45" i="2"/>
  <c r="M45" i="2" s="1"/>
  <c r="F43" i="2"/>
  <c r="M43" i="2" s="1"/>
  <c r="F42" i="2"/>
  <c r="M42" i="2" s="1"/>
  <c r="F41" i="2"/>
  <c r="M41" i="2" s="1"/>
  <c r="F39" i="2"/>
  <c r="M39" i="2" s="1"/>
  <c r="F37" i="2"/>
  <c r="M37" i="2" s="1"/>
  <c r="F35" i="2"/>
  <c r="M35" i="2" s="1"/>
  <c r="F34" i="2"/>
  <c r="M34" i="2" s="1"/>
  <c r="F33" i="2"/>
  <c r="M33" i="2" s="1"/>
  <c r="F32" i="2"/>
  <c r="M32" i="2" s="1"/>
  <c r="F31" i="2"/>
  <c r="M31" i="2" s="1"/>
  <c r="F30" i="2"/>
  <c r="M30" i="2" s="1"/>
  <c r="Q13" i="8" l="1"/>
  <c r="AH11" i="8"/>
  <c r="Q16" i="8" l="1"/>
  <c r="AH13" i="8"/>
  <c r="AH16" i="8" l="1"/>
  <c r="Q20" i="8"/>
  <c r="AH20" i="8" s="1"/>
  <c r="N75" i="2" l="1"/>
  <c r="N74" i="2"/>
  <c r="N73" i="2"/>
  <c r="N72" i="2"/>
  <c r="N71" i="2"/>
  <c r="N70" i="2"/>
  <c r="N69" i="2"/>
  <c r="N68" i="2"/>
  <c r="N67" i="2"/>
  <c r="N64" i="2"/>
  <c r="N63" i="2"/>
  <c r="N62" i="2"/>
  <c r="N60" i="2"/>
  <c r="N59" i="2"/>
  <c r="N58" i="2"/>
  <c r="N57" i="2"/>
  <c r="N56" i="2"/>
  <c r="N55" i="2"/>
  <c r="N54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2" i="2"/>
  <c r="N21" i="2"/>
  <c r="N19" i="2"/>
  <c r="N18" i="2"/>
  <c r="N17" i="2"/>
  <c r="N14" i="2"/>
  <c r="N12" i="2"/>
  <c r="N10" i="2"/>
  <c r="N9" i="2"/>
  <c r="N8" i="2"/>
  <c r="N7" i="2"/>
  <c r="N6" i="2"/>
  <c r="N5" i="2"/>
  <c r="G104" i="2"/>
  <c r="G95" i="2"/>
  <c r="G83" i="2"/>
  <c r="G66" i="2"/>
  <c r="G53" i="2"/>
  <c r="G11" i="2"/>
  <c r="G23" i="2" s="1"/>
  <c r="N23" i="2" s="1"/>
  <c r="G77" i="2" l="1"/>
  <c r="N95" i="2"/>
  <c r="N104" i="2"/>
  <c r="N53" i="2"/>
  <c r="N66" i="2"/>
  <c r="N77" i="2" s="1"/>
  <c r="N84" i="2"/>
  <c r="N83" i="2" s="1"/>
  <c r="N114" i="2" s="1"/>
  <c r="N11" i="2"/>
  <c r="G114" i="2"/>
  <c r="G13" i="2"/>
  <c r="O23" i="8"/>
  <c r="O22" i="8"/>
  <c r="O21" i="8"/>
  <c r="O19" i="8"/>
  <c r="O18" i="8"/>
  <c r="O17" i="8"/>
  <c r="O14" i="8"/>
  <c r="O12" i="8"/>
  <c r="O7" i="8"/>
  <c r="O8" i="8"/>
  <c r="O9" i="8"/>
  <c r="O6" i="8"/>
  <c r="G16" i="2" l="1"/>
  <c r="N16" i="2" s="1"/>
  <c r="N13" i="2"/>
  <c r="U6" i="12"/>
  <c r="E26" i="12"/>
  <c r="D26" i="12"/>
  <c r="J26" i="12"/>
  <c r="D56" i="12"/>
  <c r="I56" i="12"/>
  <c r="H56" i="12"/>
  <c r="G56" i="12"/>
  <c r="F56" i="12"/>
  <c r="E56" i="12"/>
  <c r="J56" i="12"/>
  <c r="G20" i="2" l="1"/>
  <c r="N20" i="2" s="1"/>
  <c r="G80" i="11"/>
  <c r="F80" i="11"/>
  <c r="E80" i="11"/>
  <c r="G68" i="11"/>
  <c r="F68" i="11"/>
  <c r="G60" i="11"/>
  <c r="F60" i="11"/>
  <c r="G56" i="11"/>
  <c r="F56" i="11"/>
  <c r="G61" i="11"/>
  <c r="F48" i="11"/>
  <c r="G48" i="11"/>
  <c r="G36" i="11"/>
  <c r="G44" i="11"/>
  <c r="F44" i="11"/>
  <c r="F32" i="11"/>
  <c r="G32" i="11"/>
  <c r="I70" i="12" l="1"/>
  <c r="F70" i="12"/>
  <c r="E70" i="12"/>
  <c r="J69" i="12"/>
  <c r="J67" i="12"/>
  <c r="G67" i="12"/>
  <c r="G70" i="12" s="1"/>
  <c r="E66" i="12"/>
  <c r="F66" i="12" s="1"/>
  <c r="G66" i="12" s="1"/>
  <c r="H66" i="12" s="1"/>
  <c r="I66" i="12" s="1"/>
  <c r="J63" i="12"/>
  <c r="H63" i="12"/>
  <c r="G63" i="12"/>
  <c r="G64" i="12" s="1"/>
  <c r="F63" i="12"/>
  <c r="E59" i="12"/>
  <c r="F59" i="12" s="1"/>
  <c r="G59" i="12" s="1"/>
  <c r="H59" i="12" s="1"/>
  <c r="I59" i="12" s="1"/>
  <c r="J59" i="12" s="1"/>
  <c r="E38" i="12"/>
  <c r="F38" i="12" s="1"/>
  <c r="G38" i="12" s="1"/>
  <c r="H38" i="12" s="1"/>
  <c r="I38" i="12" s="1"/>
  <c r="J38" i="12" s="1"/>
  <c r="K38" i="12" s="1"/>
  <c r="J36" i="12"/>
  <c r="F36" i="12"/>
  <c r="E36" i="12"/>
  <c r="D36" i="12"/>
  <c r="I36" i="12"/>
  <c r="H36" i="12"/>
  <c r="G36" i="12"/>
  <c r="E28" i="12"/>
  <c r="F28" i="12" s="1"/>
  <c r="G28" i="12" s="1"/>
  <c r="H28" i="12" s="1"/>
  <c r="I28" i="12" s="1"/>
  <c r="J28" i="12" s="1"/>
  <c r="K28" i="12" s="1"/>
  <c r="I24" i="12"/>
  <c r="I26" i="12" s="1"/>
  <c r="H22" i="12"/>
  <c r="H26" i="12" s="1"/>
  <c r="G26" i="12"/>
  <c r="F26" i="12"/>
  <c r="P14" i="12"/>
  <c r="Q14" i="12" s="1"/>
  <c r="R14" i="12" s="1"/>
  <c r="S14" i="12" s="1"/>
  <c r="T14" i="12" s="1"/>
  <c r="U14" i="12" s="1"/>
  <c r="V14" i="12" s="1"/>
  <c r="E14" i="12"/>
  <c r="F14" i="12" s="1"/>
  <c r="G14" i="12" s="1"/>
  <c r="H14" i="12" s="1"/>
  <c r="I14" i="12" s="1"/>
  <c r="J14" i="12" s="1"/>
  <c r="K14" i="12" s="1"/>
  <c r="J11" i="12"/>
  <c r="H11" i="12"/>
  <c r="G11" i="12"/>
  <c r="F11" i="12"/>
  <c r="E11" i="12"/>
  <c r="D11" i="12"/>
  <c r="I11" i="12"/>
  <c r="T6" i="12"/>
  <c r="S6" i="12"/>
  <c r="Q6" i="12"/>
  <c r="P6" i="12"/>
  <c r="O6" i="12"/>
  <c r="R5" i="12"/>
  <c r="R6" i="12" s="1"/>
  <c r="P3" i="12"/>
  <c r="Q3" i="12" s="1"/>
  <c r="R3" i="12" s="1"/>
  <c r="S3" i="12" s="1"/>
  <c r="T3" i="12" s="1"/>
  <c r="U3" i="12" s="1"/>
  <c r="E3" i="12"/>
  <c r="F3" i="12" s="1"/>
  <c r="G3" i="12" s="1"/>
  <c r="H3" i="12" s="1"/>
  <c r="I3" i="12" s="1"/>
  <c r="J3" i="12" s="1"/>
  <c r="K3" i="12" s="1"/>
  <c r="J64" i="12" l="1"/>
  <c r="I63" i="12"/>
  <c r="H67" i="12"/>
  <c r="H70" i="12" s="1"/>
  <c r="J70" i="12"/>
  <c r="H64" i="12"/>
  <c r="I64" i="12" l="1"/>
  <c r="R127" i="1" l="1"/>
  <c r="R128" i="1"/>
  <c r="R129" i="1"/>
  <c r="R130" i="1"/>
  <c r="R141" i="1" s="1"/>
  <c r="R132" i="1"/>
  <c r="R133" i="1"/>
  <c r="R134" i="1"/>
  <c r="R135" i="1"/>
  <c r="R136" i="1"/>
  <c r="R137" i="1"/>
  <c r="R143" i="1"/>
  <c r="R144" i="1"/>
  <c r="R145" i="1"/>
  <c r="R146" i="1"/>
  <c r="R147" i="1"/>
  <c r="R148" i="1"/>
  <c r="R151" i="1"/>
  <c r="R152" i="1"/>
  <c r="R154" i="1"/>
  <c r="R156" i="1"/>
  <c r="R157" i="1"/>
  <c r="R158" i="1"/>
  <c r="R159" i="1"/>
  <c r="R162" i="1" s="1"/>
  <c r="R160" i="1"/>
  <c r="R161" i="1"/>
  <c r="R163" i="1"/>
  <c r="R164" i="1"/>
  <c r="R171" i="1" s="1"/>
  <c r="R165" i="1"/>
  <c r="R166" i="1"/>
  <c r="R167" i="1"/>
  <c r="R168" i="1"/>
  <c r="R169" i="1"/>
  <c r="R170" i="1"/>
  <c r="R173" i="1"/>
  <c r="R174" i="1"/>
  <c r="J171" i="1"/>
  <c r="J162" i="1"/>
  <c r="J149" i="1" l="1"/>
  <c r="R149" i="1" s="1"/>
  <c r="R150" i="1" s="1"/>
  <c r="R153" i="1" s="1"/>
  <c r="R155" i="1" s="1"/>
  <c r="R172" i="1" s="1"/>
  <c r="R175" i="1" s="1"/>
  <c r="D141" i="1"/>
  <c r="E141" i="1"/>
  <c r="F141" i="1"/>
  <c r="G141" i="1"/>
  <c r="H141" i="1"/>
  <c r="J141" i="1"/>
  <c r="I141" i="1"/>
  <c r="P79" i="1"/>
  <c r="Q79" i="1"/>
  <c r="J79" i="1"/>
  <c r="R79" i="1" s="1"/>
  <c r="J75" i="1"/>
  <c r="R69" i="1"/>
  <c r="R70" i="1"/>
  <c r="R71" i="1"/>
  <c r="R72" i="1"/>
  <c r="R73" i="1"/>
  <c r="R74" i="1"/>
  <c r="R75" i="1"/>
  <c r="R76" i="1"/>
  <c r="R78" i="1"/>
  <c r="R81" i="1"/>
  <c r="R82" i="1"/>
  <c r="R83" i="1"/>
  <c r="R85" i="1"/>
  <c r="R86" i="1"/>
  <c r="R87" i="1"/>
  <c r="R7" i="1"/>
  <c r="R8" i="1"/>
  <c r="R9" i="1"/>
  <c r="R10" i="1"/>
  <c r="R11" i="1"/>
  <c r="R12" i="1"/>
  <c r="R14" i="1"/>
  <c r="R15" i="1"/>
  <c r="R16" i="1"/>
  <c r="R17" i="1"/>
  <c r="R20" i="1"/>
  <c r="R21" i="1"/>
  <c r="R22" i="1"/>
  <c r="R23" i="1"/>
  <c r="R24" i="1"/>
  <c r="R25" i="1"/>
  <c r="R26" i="1"/>
  <c r="R28" i="1"/>
  <c r="R34" i="1"/>
  <c r="R35" i="1"/>
  <c r="R36" i="1"/>
  <c r="R37" i="1"/>
  <c r="R38" i="1"/>
  <c r="R39" i="1"/>
  <c r="R40" i="1"/>
  <c r="R41" i="1"/>
  <c r="R44" i="1"/>
  <c r="R45" i="1"/>
  <c r="R46" i="1"/>
  <c r="R47" i="1"/>
  <c r="R48" i="1"/>
  <c r="R49" i="1"/>
  <c r="R50" i="1"/>
  <c r="R53" i="1"/>
  <c r="R54" i="1"/>
  <c r="R56" i="1"/>
  <c r="R57" i="1"/>
  <c r="R58" i="1"/>
  <c r="R59" i="1"/>
  <c r="R60" i="1"/>
  <c r="J52" i="1"/>
  <c r="R52" i="1" s="1"/>
  <c r="J43" i="1"/>
  <c r="R43" i="1" s="1"/>
  <c r="J33" i="1"/>
  <c r="J32" i="1" s="1"/>
  <c r="R32" i="1" s="1"/>
  <c r="J19" i="1"/>
  <c r="J6" i="1"/>
  <c r="R6" i="1" s="1"/>
  <c r="J30" i="1" l="1"/>
  <c r="J77" i="1"/>
  <c r="O13" i="8" s="1"/>
  <c r="O16" i="8" s="1"/>
  <c r="O11" i="8"/>
  <c r="R62" i="1"/>
  <c r="J62" i="1"/>
  <c r="R19" i="1"/>
  <c r="R30" i="1" s="1"/>
  <c r="J150" i="1"/>
  <c r="J153" i="1" s="1"/>
  <c r="J155" i="1" s="1"/>
  <c r="J172" i="1" s="1"/>
  <c r="J175" i="1" s="1"/>
  <c r="R77" i="1"/>
  <c r="J80" i="1"/>
  <c r="R33" i="1"/>
  <c r="G85" i="11"/>
  <c r="G84" i="11"/>
  <c r="G73" i="11"/>
  <c r="G72" i="11"/>
  <c r="G91" i="11" s="1"/>
  <c r="G98" i="11" s="1"/>
  <c r="G90" i="11"/>
  <c r="G97" i="11" s="1"/>
  <c r="G49" i="11"/>
  <c r="G37" i="11"/>
  <c r="G92" i="11" l="1"/>
  <c r="G99" i="11" s="1"/>
  <c r="R80" i="1"/>
  <c r="J84" i="1"/>
  <c r="H9" i="11"/>
  <c r="H8" i="11"/>
  <c r="H7" i="11"/>
  <c r="H6" i="11"/>
  <c r="H5" i="11"/>
  <c r="R84" i="1" l="1"/>
  <c r="O20" i="8"/>
  <c r="AE37" i="8"/>
  <c r="AE36" i="8"/>
  <c r="AD36" i="8"/>
  <c r="AC36" i="8"/>
  <c r="AB36" i="8"/>
  <c r="AA36" i="8"/>
  <c r="Z36" i="8"/>
  <c r="Y36" i="8"/>
  <c r="X36" i="8"/>
  <c r="W36" i="8"/>
  <c r="V36" i="8"/>
  <c r="U36" i="8"/>
  <c r="AE35" i="8"/>
  <c r="AD35" i="8"/>
  <c r="AC35" i="8"/>
  <c r="AB35" i="8"/>
  <c r="AA35" i="8"/>
  <c r="Z35" i="8"/>
  <c r="Y35" i="8"/>
  <c r="X35" i="8"/>
  <c r="W35" i="8"/>
  <c r="V35" i="8"/>
  <c r="U35" i="8"/>
  <c r="AE34" i="8"/>
  <c r="AD34" i="8"/>
  <c r="AC34" i="8"/>
  <c r="AB34" i="8"/>
  <c r="AA34" i="8"/>
  <c r="Z34" i="8"/>
  <c r="Y34" i="8"/>
  <c r="X34" i="8"/>
  <c r="W34" i="8"/>
  <c r="V34" i="8"/>
  <c r="U34" i="8"/>
  <c r="AF36" i="8"/>
  <c r="AF35" i="8"/>
  <c r="AF34" i="8"/>
  <c r="AF47" i="8"/>
  <c r="AF46" i="8"/>
  <c r="AF45" i="8"/>
  <c r="AF44" i="8"/>
  <c r="AF48" i="8" s="1"/>
  <c r="AF43" i="8"/>
  <c r="AE47" i="8"/>
  <c r="AE45" i="8"/>
  <c r="AF40" i="8"/>
  <c r="AF42" i="8"/>
  <c r="AF33" i="8"/>
  <c r="AF23" i="8"/>
  <c r="AF22" i="8"/>
  <c r="AF21" i="8"/>
  <c r="AF20" i="8"/>
  <c r="AF19" i="8"/>
  <c r="AF18" i="8"/>
  <c r="AF17" i="8"/>
  <c r="AF16" i="8"/>
  <c r="AF14" i="8"/>
  <c r="AF13" i="8"/>
  <c r="AF12" i="8"/>
  <c r="AF11" i="8"/>
  <c r="AF10" i="8"/>
  <c r="AF9" i="8"/>
  <c r="AF8" i="8"/>
  <c r="AF7" i="8"/>
  <c r="AF6" i="8"/>
  <c r="AF5" i="8"/>
  <c r="AE41" i="8" l="1"/>
  <c r="AE40" i="8"/>
  <c r="AE46" i="8" s="1"/>
  <c r="AE5" i="8"/>
  <c r="AE6" i="8"/>
  <c r="AE7" i="8"/>
  <c r="AE8" i="8"/>
  <c r="AE9" i="8"/>
  <c r="AE10" i="8"/>
  <c r="AE12" i="8"/>
  <c r="AE14" i="8"/>
  <c r="AE17" i="8"/>
  <c r="AE19" i="8"/>
  <c r="AE21" i="8"/>
  <c r="E64" i="7"/>
  <c r="E65" i="7" s="1"/>
  <c r="E63" i="7"/>
  <c r="E57" i="7"/>
  <c r="E58" i="7" s="1"/>
  <c r="E56" i="7"/>
  <c r="E50" i="7"/>
  <c r="E49" i="7"/>
  <c r="E51" i="7" s="1"/>
  <c r="E43" i="7"/>
  <c r="E42" i="7"/>
  <c r="E44" i="7" s="1"/>
  <c r="E37" i="7"/>
  <c r="E36" i="7"/>
  <c r="E35" i="7"/>
  <c r="E29" i="7"/>
  <c r="E30" i="7" s="1"/>
  <c r="E28" i="7"/>
  <c r="D23" i="7"/>
  <c r="D16" i="7"/>
  <c r="D9" i="7"/>
  <c r="AE43" i="8" l="1"/>
  <c r="AE44" i="8"/>
  <c r="D29" i="7"/>
  <c r="AE48" i="8" l="1"/>
  <c r="AE11" i="8"/>
  <c r="D58" i="7" l="1"/>
  <c r="C58" i="7"/>
  <c r="D57" i="7"/>
  <c r="C57" i="7"/>
  <c r="D56" i="7"/>
  <c r="C56" i="7"/>
  <c r="D51" i="7"/>
  <c r="C51" i="7"/>
  <c r="D50" i="7"/>
  <c r="C50" i="7"/>
  <c r="D49" i="7"/>
  <c r="C49" i="7"/>
  <c r="D44" i="7"/>
  <c r="C44" i="7"/>
  <c r="D43" i="7"/>
  <c r="C43" i="7"/>
  <c r="D42" i="7"/>
  <c r="C42" i="7"/>
  <c r="D37" i="7"/>
  <c r="C37" i="7"/>
  <c r="D36" i="7"/>
  <c r="C36" i="7"/>
  <c r="D35" i="7"/>
  <c r="C35" i="7"/>
  <c r="C30" i="7"/>
  <c r="C29" i="7"/>
  <c r="C28" i="7"/>
  <c r="E78" i="11"/>
  <c r="G16" i="11"/>
  <c r="D84" i="11" s="1"/>
  <c r="F16" i="11"/>
  <c r="F23" i="11" s="1"/>
  <c r="E85" i="11" s="1"/>
  <c r="E16" i="11"/>
  <c r="G15" i="11"/>
  <c r="D72" i="11" s="1"/>
  <c r="F15" i="11"/>
  <c r="E72" i="11" s="1"/>
  <c r="E15" i="11"/>
  <c r="G14" i="11"/>
  <c r="D60" i="11" s="1"/>
  <c r="F14" i="11"/>
  <c r="E60" i="11" s="1"/>
  <c r="E14" i="11"/>
  <c r="G13" i="11"/>
  <c r="D48" i="11" s="1"/>
  <c r="F13" i="11"/>
  <c r="E48" i="11" s="1"/>
  <c r="E13" i="11"/>
  <c r="G12" i="11"/>
  <c r="D36" i="11" s="1"/>
  <c r="F12" i="11"/>
  <c r="E36" i="11" s="1"/>
  <c r="E12" i="11"/>
  <c r="G10" i="11"/>
  <c r="G17" i="11" s="1"/>
  <c r="F10" i="11"/>
  <c r="F17" i="11" s="1"/>
  <c r="F24" i="11" s="1"/>
  <c r="E10" i="11"/>
  <c r="H10" i="11" s="1"/>
  <c r="G9" i="11"/>
  <c r="G8" i="11"/>
  <c r="F8" i="11"/>
  <c r="F22" i="11" s="1"/>
  <c r="E73" i="11" s="1"/>
  <c r="G7" i="11"/>
  <c r="F7" i="11"/>
  <c r="G6" i="11"/>
  <c r="F6" i="11"/>
  <c r="E42" i="11" s="1"/>
  <c r="E44" i="11" s="1"/>
  <c r="G5" i="11"/>
  <c r="F5" i="11"/>
  <c r="F19" i="11" s="1"/>
  <c r="E37" i="11" s="1"/>
  <c r="D64" i="7" l="1"/>
  <c r="D71" i="7" s="1"/>
  <c r="E20" i="11"/>
  <c r="H13" i="11"/>
  <c r="F21" i="11"/>
  <c r="E61" i="11" s="1"/>
  <c r="E19" i="11"/>
  <c r="F36" i="11"/>
  <c r="F37" i="11" s="1"/>
  <c r="H12" i="11"/>
  <c r="E23" i="11"/>
  <c r="F85" i="11" s="1"/>
  <c r="H16" i="11"/>
  <c r="E84" i="11"/>
  <c r="E91" i="11" s="1"/>
  <c r="E98" i="11" s="1"/>
  <c r="E21" i="11"/>
  <c r="F61" i="11" s="1"/>
  <c r="H14" i="11"/>
  <c r="E22" i="11"/>
  <c r="F73" i="11" s="1"/>
  <c r="H15" i="11"/>
  <c r="F72" i="11"/>
  <c r="F90" i="11"/>
  <c r="F97" i="11" s="1"/>
  <c r="G23" i="11"/>
  <c r="D85" i="11" s="1"/>
  <c r="G19" i="11"/>
  <c r="D37" i="11" s="1"/>
  <c r="F49" i="11"/>
  <c r="H20" i="11"/>
  <c r="H19" i="11"/>
  <c r="G20" i="11"/>
  <c r="D49" i="11" s="1"/>
  <c r="F84" i="11"/>
  <c r="D91" i="11"/>
  <c r="D98" i="11" s="1"/>
  <c r="G22" i="11"/>
  <c r="D73" i="11" s="1"/>
  <c r="E30" i="11"/>
  <c r="E32" i="11" s="1"/>
  <c r="D42" i="11"/>
  <c r="D44" i="11" s="1"/>
  <c r="E54" i="11"/>
  <c r="E56" i="11" s="1"/>
  <c r="D66" i="11"/>
  <c r="D68" i="11" s="1"/>
  <c r="F20" i="11"/>
  <c r="E49" i="11" s="1"/>
  <c r="E66" i="11"/>
  <c r="E68" i="11" s="1"/>
  <c r="D78" i="11"/>
  <c r="D80" i="11" s="1"/>
  <c r="G21" i="11"/>
  <c r="D61" i="11" s="1"/>
  <c r="D30" i="11"/>
  <c r="D32" i="11" s="1"/>
  <c r="D54" i="11"/>
  <c r="D56" i="11" s="1"/>
  <c r="C63" i="7"/>
  <c r="C70" i="7" s="1"/>
  <c r="C64" i="7"/>
  <c r="C71" i="7" s="1"/>
  <c r="C65" i="7"/>
  <c r="C72" i="7" s="1"/>
  <c r="D63" i="7"/>
  <c r="D70" i="7" s="1"/>
  <c r="D65" i="7"/>
  <c r="D72" i="7" s="1"/>
  <c r="G18" i="11"/>
  <c r="F18" i="11"/>
  <c r="E11" i="11"/>
  <c r="H11" i="11" s="1"/>
  <c r="E17" i="11"/>
  <c r="H17" i="11" s="1"/>
  <c r="G24" i="11"/>
  <c r="F11" i="11"/>
  <c r="G11" i="11"/>
  <c r="H21" i="11" l="1"/>
  <c r="H23" i="11"/>
  <c r="H22" i="11"/>
  <c r="E92" i="11"/>
  <c r="E99" i="11" s="1"/>
  <c r="F92" i="11"/>
  <c r="D92" i="11"/>
  <c r="D99" i="11" s="1"/>
  <c r="E18" i="11"/>
  <c r="H18" i="11" s="1"/>
  <c r="F91" i="11"/>
  <c r="F98" i="11" s="1"/>
  <c r="F25" i="11"/>
  <c r="D90" i="11"/>
  <c r="D97" i="11" s="1"/>
  <c r="G25" i="11"/>
  <c r="E90" i="11"/>
  <c r="E97" i="11" s="1"/>
  <c r="E24" i="11"/>
  <c r="H24" i="11" s="1"/>
  <c r="V41" i="8"/>
  <c r="W41" i="8"/>
  <c r="X41" i="8"/>
  <c r="Y41" i="8"/>
  <c r="Z41" i="8"/>
  <c r="AA41" i="8"/>
  <c r="AB41" i="8"/>
  <c r="AC41" i="8"/>
  <c r="AD41" i="8"/>
  <c r="U42" i="8"/>
  <c r="U41" i="8"/>
  <c r="V40" i="8"/>
  <c r="W40" i="8"/>
  <c r="Y40" i="8"/>
  <c r="Z40" i="8"/>
  <c r="AA40" i="8"/>
  <c r="AC40" i="8"/>
  <c r="AD40" i="8"/>
  <c r="U40" i="8"/>
  <c r="AD10" i="8"/>
  <c r="AE13" i="8"/>
  <c r="AD7" i="8"/>
  <c r="AD8" i="8"/>
  <c r="AD9" i="8"/>
  <c r="AD12" i="8"/>
  <c r="AD14" i="8"/>
  <c r="AD17" i="8"/>
  <c r="AD19" i="8"/>
  <c r="AD21" i="8"/>
  <c r="AD5" i="8"/>
  <c r="O37" i="8"/>
  <c r="AF37" i="8" s="1"/>
  <c r="AB31" i="8"/>
  <c r="X31" i="8"/>
  <c r="AB2" i="8"/>
  <c r="X2" i="8"/>
  <c r="AA46" i="8" l="1"/>
  <c r="AA43" i="8"/>
  <c r="AA44" i="8"/>
  <c r="U44" i="8"/>
  <c r="U43" i="8"/>
  <c r="U46" i="8"/>
  <c r="Z43" i="8"/>
  <c r="Z44" i="8"/>
  <c r="Z46" i="8"/>
  <c r="Y44" i="8"/>
  <c r="Y46" i="8"/>
  <c r="Y43" i="8"/>
  <c r="V43" i="8"/>
  <c r="V44" i="8"/>
  <c r="V46" i="8"/>
  <c r="AD43" i="8"/>
  <c r="AD44" i="8"/>
  <c r="AD46" i="8"/>
  <c r="AC44" i="8"/>
  <c r="AC46" i="8"/>
  <c r="AC43" i="8"/>
  <c r="W43" i="8"/>
  <c r="W44" i="8"/>
  <c r="W46" i="8"/>
  <c r="AB40" i="8"/>
  <c r="X40" i="8"/>
  <c r="AE23" i="8"/>
  <c r="E25" i="11"/>
  <c r="H25" i="11" s="1"/>
  <c r="F99" i="11"/>
  <c r="AD6" i="8"/>
  <c r="X46" i="8" l="1"/>
  <c r="X44" i="8"/>
  <c r="X43" i="8"/>
  <c r="AB46" i="8"/>
  <c r="AB43" i="8"/>
  <c r="AB44" i="8"/>
  <c r="AE18" i="8"/>
  <c r="AE16" i="8"/>
  <c r="AE22" i="8"/>
  <c r="AE20" i="8"/>
  <c r="AD11" i="8"/>
  <c r="AD13" i="8"/>
  <c r="AD23" i="8"/>
  <c r="AD18" i="8" l="1"/>
  <c r="AD16" i="8"/>
  <c r="AD22" i="8" l="1"/>
  <c r="AD20" i="8"/>
  <c r="AC17" i="8" l="1"/>
  <c r="Y14" i="8"/>
  <c r="Y12" i="8"/>
  <c r="AC12" i="8"/>
  <c r="AC7" i="8"/>
  <c r="AC8" i="8"/>
  <c r="AC9" i="8"/>
  <c r="Y10" i="8"/>
  <c r="AC10" i="8"/>
  <c r="Y5" i="8"/>
  <c r="AC5" i="8"/>
  <c r="U5" i="8"/>
  <c r="M37" i="8"/>
  <c r="AD37" i="8" s="1"/>
  <c r="L37" i="8"/>
  <c r="AC37" i="8" s="1"/>
  <c r="K37" i="8"/>
  <c r="AB37" i="8" s="1"/>
  <c r="J37" i="8"/>
  <c r="AA37" i="8" s="1"/>
  <c r="I37" i="8"/>
  <c r="Z37" i="8" s="1"/>
  <c r="H37" i="8"/>
  <c r="Y37" i="8" s="1"/>
  <c r="G37" i="8"/>
  <c r="X37" i="8" s="1"/>
  <c r="F37" i="8"/>
  <c r="W37" i="8" s="1"/>
  <c r="E37" i="8"/>
  <c r="V37" i="8" s="1"/>
  <c r="D37" i="8"/>
  <c r="U37" i="8" s="1"/>
  <c r="V33" i="8"/>
  <c r="AC21" i="8"/>
  <c r="AA21" i="8"/>
  <c r="Z21" i="8"/>
  <c r="Y21" i="8"/>
  <c r="W21" i="8"/>
  <c r="V21" i="8"/>
  <c r="U21" i="8"/>
  <c r="AC19" i="8"/>
  <c r="AA19" i="8"/>
  <c r="Z19" i="8"/>
  <c r="Y19" i="8"/>
  <c r="W19" i="8"/>
  <c r="V19" i="8"/>
  <c r="U19" i="8"/>
  <c r="AA17" i="8"/>
  <c r="Z17" i="8"/>
  <c r="W17" i="8"/>
  <c r="V17" i="8"/>
  <c r="U17" i="8"/>
  <c r="AC14" i="8"/>
  <c r="AA14" i="8"/>
  <c r="Z14" i="8"/>
  <c r="W14" i="8"/>
  <c r="V14" i="8"/>
  <c r="U14" i="8"/>
  <c r="AA12" i="8"/>
  <c r="Z12" i="8"/>
  <c r="W12" i="8"/>
  <c r="V12" i="8"/>
  <c r="U12" i="8"/>
  <c r="AA10" i="8"/>
  <c r="Z10" i="8"/>
  <c r="W10" i="8"/>
  <c r="V10" i="8"/>
  <c r="AA9" i="8"/>
  <c r="Z9" i="8"/>
  <c r="Y9" i="8"/>
  <c r="W9" i="8"/>
  <c r="V9" i="8"/>
  <c r="U9" i="8"/>
  <c r="AA8" i="8"/>
  <c r="Z8" i="8"/>
  <c r="Y8" i="8"/>
  <c r="W8" i="8"/>
  <c r="V8" i="8"/>
  <c r="U8" i="8"/>
  <c r="AA7" i="8"/>
  <c r="Z7" i="8"/>
  <c r="Y7" i="8"/>
  <c r="W7" i="8"/>
  <c r="V7" i="8"/>
  <c r="U7" i="8"/>
  <c r="AA6" i="8"/>
  <c r="Z6" i="8"/>
  <c r="Y6" i="8"/>
  <c r="W6" i="8"/>
  <c r="V6" i="8"/>
  <c r="U6" i="8"/>
  <c r="AA5" i="8"/>
  <c r="Z5" i="8"/>
  <c r="V5" i="8"/>
  <c r="AB19" i="8"/>
  <c r="X19" i="8"/>
  <c r="U13" i="8" l="1"/>
  <c r="W5" i="8"/>
  <c r="W33" i="8"/>
  <c r="V42" i="8"/>
  <c r="L48" i="8"/>
  <c r="AC48" i="8" s="1"/>
  <c r="H48" i="8"/>
  <c r="Y48" i="8" s="1"/>
  <c r="G48" i="8"/>
  <c r="X48" i="8" s="1"/>
  <c r="K48" i="8"/>
  <c r="AB48" i="8" s="1"/>
  <c r="D48" i="8"/>
  <c r="U48" i="8" s="1"/>
  <c r="Y17" i="8"/>
  <c r="AC23" i="8"/>
  <c r="AC6" i="8"/>
  <c r="U10" i="8"/>
  <c r="X23" i="8"/>
  <c r="X13" i="8"/>
  <c r="AB23" i="8"/>
  <c r="AB13" i="8"/>
  <c r="F48" i="8"/>
  <c r="W48" i="8" s="1"/>
  <c r="J48" i="8"/>
  <c r="AA48" i="8" s="1"/>
  <c r="U18" i="8"/>
  <c r="V23" i="8"/>
  <c r="V18" i="8"/>
  <c r="V13" i="8"/>
  <c r="Z23" i="8"/>
  <c r="Z18" i="8"/>
  <c r="Z13" i="8"/>
  <c r="W23" i="8"/>
  <c r="W18" i="8"/>
  <c r="W13" i="8"/>
  <c r="AA23" i="8"/>
  <c r="AA18" i="8"/>
  <c r="AA13" i="8"/>
  <c r="E48" i="8"/>
  <c r="V48" i="8" s="1"/>
  <c r="I48" i="8"/>
  <c r="Z48" i="8" s="1"/>
  <c r="M48" i="8"/>
  <c r="AD48" i="8" s="1"/>
  <c r="U11" i="8"/>
  <c r="Y11" i="8"/>
  <c r="AC11" i="8"/>
  <c r="X14" i="8"/>
  <c r="AB14" i="8"/>
  <c r="X5" i="8"/>
  <c r="AB5" i="8"/>
  <c r="X7" i="8"/>
  <c r="AB7" i="8"/>
  <c r="X9" i="8"/>
  <c r="AB9" i="8"/>
  <c r="V11" i="8"/>
  <c r="Z11" i="8"/>
  <c r="X12" i="8"/>
  <c r="AB12" i="8"/>
  <c r="X18" i="8"/>
  <c r="AB18" i="8"/>
  <c r="W11" i="8"/>
  <c r="AA11" i="8"/>
  <c r="X21" i="8"/>
  <c r="AB21" i="8"/>
  <c r="X6" i="8"/>
  <c r="AB6" i="8"/>
  <c r="X8" i="8"/>
  <c r="AB8" i="8"/>
  <c r="X10" i="8"/>
  <c r="AB10" i="8"/>
  <c r="X11" i="8"/>
  <c r="AB11" i="8"/>
  <c r="X17" i="8"/>
  <c r="AB17" i="8"/>
  <c r="U23" i="8" l="1"/>
  <c r="Y18" i="8"/>
  <c r="Y23" i="8"/>
  <c r="AC13" i="8"/>
  <c r="AC18" i="8"/>
  <c r="X33" i="8"/>
  <c r="W42" i="8"/>
  <c r="Y13" i="8"/>
  <c r="Y16" i="8"/>
  <c r="V16" i="8"/>
  <c r="W16" i="8"/>
  <c r="Z16" i="8"/>
  <c r="X16" i="8"/>
  <c r="AA16" i="8"/>
  <c r="U16" i="8"/>
  <c r="AB16" i="8"/>
  <c r="AC16" i="8" l="1"/>
  <c r="Y33" i="8"/>
  <c r="X42" i="8"/>
  <c r="Y20" i="8"/>
  <c r="Y22" i="8"/>
  <c r="X20" i="8"/>
  <c r="X22" i="8"/>
  <c r="W20" i="8"/>
  <c r="W22" i="8"/>
  <c r="AC20" i="8"/>
  <c r="AC22" i="8"/>
  <c r="Z20" i="8"/>
  <c r="Z22" i="8"/>
  <c r="V20" i="8"/>
  <c r="V22" i="8"/>
  <c r="AB20" i="8"/>
  <c r="AB22" i="8"/>
  <c r="AA20" i="8"/>
  <c r="AA22" i="8"/>
  <c r="U20" i="8"/>
  <c r="U22" i="8"/>
  <c r="Z33" i="8" l="1"/>
  <c r="Y42" i="8"/>
  <c r="E46" i="2"/>
  <c r="L46" i="2" s="1"/>
  <c r="D46" i="2"/>
  <c r="K46" i="2" s="1"/>
  <c r="E45" i="2"/>
  <c r="D45" i="2"/>
  <c r="E43" i="2"/>
  <c r="L43" i="2" s="1"/>
  <c r="D43" i="2"/>
  <c r="K43" i="2" s="1"/>
  <c r="E42" i="2"/>
  <c r="L42" i="2" s="1"/>
  <c r="D42" i="2"/>
  <c r="K42" i="2" s="1"/>
  <c r="E41" i="2"/>
  <c r="D41" i="2"/>
  <c r="D32" i="2"/>
  <c r="K32" i="2" s="1"/>
  <c r="E32" i="2"/>
  <c r="L32" i="2" s="1"/>
  <c r="D33" i="2"/>
  <c r="K33" i="2" s="1"/>
  <c r="E33" i="2"/>
  <c r="L33" i="2" s="1"/>
  <c r="D34" i="2"/>
  <c r="K34" i="2" s="1"/>
  <c r="E34" i="2"/>
  <c r="L34" i="2" s="1"/>
  <c r="D35" i="2"/>
  <c r="K35" i="2" s="1"/>
  <c r="E35" i="2"/>
  <c r="L35" i="2" s="1"/>
  <c r="E31" i="2"/>
  <c r="L31" i="2" s="1"/>
  <c r="D31" i="2"/>
  <c r="K31" i="2" s="1"/>
  <c r="D37" i="2"/>
  <c r="K37" i="2" s="1"/>
  <c r="E37" i="2"/>
  <c r="L37" i="2" s="1"/>
  <c r="D39" i="2"/>
  <c r="K39" i="2" s="1"/>
  <c r="E39" i="2"/>
  <c r="L39" i="2" s="1"/>
  <c r="E30" i="2"/>
  <c r="L30" i="2" s="1"/>
  <c r="D30" i="2"/>
  <c r="M106" i="2"/>
  <c r="M109" i="2"/>
  <c r="M110" i="2"/>
  <c r="M111" i="2"/>
  <c r="M112" i="2"/>
  <c r="M108" i="2"/>
  <c r="M105" i="2"/>
  <c r="M97" i="2"/>
  <c r="M98" i="2"/>
  <c r="M99" i="2"/>
  <c r="M100" i="2"/>
  <c r="M101" i="2"/>
  <c r="M102" i="2"/>
  <c r="M96" i="2"/>
  <c r="M86" i="2"/>
  <c r="M87" i="2"/>
  <c r="M88" i="2"/>
  <c r="M89" i="2"/>
  <c r="M90" i="2"/>
  <c r="M91" i="2"/>
  <c r="M92" i="2"/>
  <c r="M93" i="2"/>
  <c r="M85" i="2"/>
  <c r="M68" i="2"/>
  <c r="M69" i="2"/>
  <c r="M70" i="2"/>
  <c r="M71" i="2"/>
  <c r="M72" i="2"/>
  <c r="M73" i="2"/>
  <c r="M74" i="2"/>
  <c r="M75" i="2"/>
  <c r="M67" i="2"/>
  <c r="M64" i="2"/>
  <c r="M63" i="2"/>
  <c r="M62" i="2"/>
  <c r="M60" i="2"/>
  <c r="M59" i="2"/>
  <c r="M58" i="2"/>
  <c r="M57" i="2"/>
  <c r="M56" i="2"/>
  <c r="M55" i="2"/>
  <c r="M54" i="2"/>
  <c r="AA33" i="8" l="1"/>
  <c r="Z42" i="8"/>
  <c r="M53" i="2"/>
  <c r="M66" i="2"/>
  <c r="K30" i="2"/>
  <c r="M104" i="2"/>
  <c r="M95" i="2"/>
  <c r="M84" i="2"/>
  <c r="M83" i="2" s="1"/>
  <c r="AB33" i="8" l="1"/>
  <c r="AA42" i="8"/>
  <c r="M77" i="2"/>
  <c r="M114" i="2"/>
  <c r="AC33" i="8" l="1"/>
  <c r="AB42" i="8"/>
  <c r="AD33" i="8" l="1"/>
  <c r="AC42" i="8"/>
  <c r="AE33" i="8" l="1"/>
  <c r="AE42" i="8" s="1"/>
  <c r="AD42" i="8"/>
  <c r="F66" i="2"/>
  <c r="F53" i="2"/>
  <c r="F104" i="2"/>
  <c r="F95" i="2"/>
  <c r="F84" i="2"/>
  <c r="F83" i="2" s="1"/>
  <c r="M5" i="2"/>
  <c r="M6" i="2"/>
  <c r="M7" i="2"/>
  <c r="M8" i="2"/>
  <c r="M9" i="2"/>
  <c r="M10" i="2"/>
  <c r="M12" i="2"/>
  <c r="M14" i="2"/>
  <c r="M17" i="2"/>
  <c r="M18" i="2"/>
  <c r="M19" i="2"/>
  <c r="M21" i="2"/>
  <c r="M22" i="2"/>
  <c r="F11" i="2"/>
  <c r="F36" i="2" s="1"/>
  <c r="M36" i="2" s="1"/>
  <c r="F23" i="2" l="1"/>
  <c r="F47" i="2" s="1"/>
  <c r="M47" i="2" s="1"/>
  <c r="M23" i="2"/>
  <c r="F77" i="2"/>
  <c r="F114" i="2"/>
  <c r="M11" i="2"/>
  <c r="F13" i="2"/>
  <c r="F38" i="2" s="1"/>
  <c r="M38" i="2" s="1"/>
  <c r="F16" i="2" l="1"/>
  <c r="M13" i="2"/>
  <c r="F40" i="2" l="1"/>
  <c r="M40" i="2" s="1"/>
  <c r="M16" i="2"/>
  <c r="F20" i="2"/>
  <c r="F44" i="2" s="1"/>
  <c r="M44" i="2" s="1"/>
  <c r="M20" i="2" l="1"/>
  <c r="E16" i="5" l="1"/>
  <c r="E15" i="5"/>
  <c r="E14" i="5"/>
  <c r="E12" i="5"/>
  <c r="E10" i="5"/>
  <c r="E17" i="5" s="1"/>
  <c r="Q127" i="1"/>
  <c r="Q128" i="1"/>
  <c r="Q129" i="1"/>
  <c r="Q130" i="1"/>
  <c r="Q132" i="1"/>
  <c r="Q133" i="1"/>
  <c r="Q134" i="1"/>
  <c r="Q135" i="1"/>
  <c r="Q136" i="1"/>
  <c r="Q137" i="1"/>
  <c r="Q143" i="1"/>
  <c r="Q144" i="1"/>
  <c r="Q145" i="1"/>
  <c r="Q146" i="1"/>
  <c r="Q147" i="1"/>
  <c r="Q148" i="1"/>
  <c r="Q151" i="1"/>
  <c r="Q152" i="1"/>
  <c r="Q154" i="1"/>
  <c r="Q156" i="1"/>
  <c r="Q157" i="1"/>
  <c r="Q158" i="1"/>
  <c r="Q159" i="1"/>
  <c r="Q160" i="1"/>
  <c r="Q161" i="1"/>
  <c r="Q163" i="1"/>
  <c r="Q164" i="1"/>
  <c r="Q165" i="1"/>
  <c r="Q166" i="1"/>
  <c r="Q167" i="1"/>
  <c r="Q168" i="1"/>
  <c r="Q169" i="1"/>
  <c r="Q170" i="1"/>
  <c r="Q173" i="1"/>
  <c r="Q174" i="1"/>
  <c r="I171" i="1"/>
  <c r="I162" i="1"/>
  <c r="I149" i="1"/>
  <c r="I52" i="1"/>
  <c r="I43" i="1"/>
  <c r="Q141" i="1" l="1"/>
  <c r="Q162" i="1"/>
  <c r="Q171" i="1"/>
  <c r="I150" i="1"/>
  <c r="I153" i="1" s="1"/>
  <c r="I155" i="1" s="1"/>
  <c r="I172" i="1" s="1"/>
  <c r="I175" i="1" s="1"/>
  <c r="Q149" i="1"/>
  <c r="Q150" i="1" s="1"/>
  <c r="Q153" i="1" s="1"/>
  <c r="Q155" i="1" s="1"/>
  <c r="I33" i="1"/>
  <c r="I32" i="1" s="1"/>
  <c r="I19" i="1"/>
  <c r="I6" i="1"/>
  <c r="Q172" i="1" l="1"/>
  <c r="Q175" i="1" s="1"/>
  <c r="I75" i="1"/>
  <c r="I77" i="1" s="1"/>
  <c r="I80" i="1" s="1"/>
  <c r="I84" i="1" l="1"/>
  <c r="L41" i="2"/>
  <c r="E24" i="5"/>
  <c r="E18" i="5"/>
  <c r="E23" i="5"/>
  <c r="E22" i="5"/>
  <c r="E21" i="5"/>
  <c r="E20" i="5"/>
  <c r="E13" i="5"/>
  <c r="E19" i="5"/>
  <c r="F10" i="5"/>
  <c r="F17" i="5" s="1"/>
  <c r="F12" i="5"/>
  <c r="F13" i="5"/>
  <c r="F16" i="5"/>
  <c r="H16" i="5" s="1"/>
  <c r="F15" i="5"/>
  <c r="H15" i="5"/>
  <c r="F14" i="5"/>
  <c r="H14" i="5"/>
  <c r="H13" i="5"/>
  <c r="E11" i="5"/>
  <c r="H9" i="5"/>
  <c r="Q32" i="1"/>
  <c r="Q52" i="1"/>
  <c r="Q43" i="1"/>
  <c r="Q19" i="1"/>
  <c r="Q6" i="1"/>
  <c r="Q84" i="1"/>
  <c r="Q69" i="1"/>
  <c r="Q70" i="1"/>
  <c r="Q71" i="1"/>
  <c r="Q72" i="1"/>
  <c r="Q73" i="1"/>
  <c r="Q74" i="1"/>
  <c r="Q75" i="1"/>
  <c r="Q76" i="1"/>
  <c r="Q77" i="1"/>
  <c r="Q78" i="1"/>
  <c r="Q80" i="1"/>
  <c r="Q81" i="1"/>
  <c r="Q82" i="1"/>
  <c r="Q83" i="1"/>
  <c r="Q85" i="1"/>
  <c r="Q86" i="1"/>
  <c r="Q87" i="1"/>
  <c r="Q7" i="1"/>
  <c r="Q8" i="1"/>
  <c r="Q9" i="1"/>
  <c r="Q10" i="1"/>
  <c r="Q11" i="1"/>
  <c r="Q12" i="1"/>
  <c r="Q14" i="1"/>
  <c r="Q15" i="1"/>
  <c r="Q16" i="1"/>
  <c r="Q17" i="1"/>
  <c r="Q20" i="1"/>
  <c r="Q21" i="1"/>
  <c r="Q22" i="1"/>
  <c r="Q23" i="1"/>
  <c r="Q24" i="1"/>
  <c r="Q25" i="1"/>
  <c r="Q26" i="1"/>
  <c r="Q28" i="1"/>
  <c r="Q34" i="1"/>
  <c r="Q35" i="1"/>
  <c r="Q36" i="1"/>
  <c r="Q37" i="1"/>
  <c r="Q38" i="1"/>
  <c r="Q39" i="1"/>
  <c r="Q40" i="1"/>
  <c r="Q41" i="1"/>
  <c r="Q44" i="1"/>
  <c r="Q45" i="1"/>
  <c r="Q46" i="1"/>
  <c r="Q47" i="1"/>
  <c r="Q48" i="1"/>
  <c r="Q49" i="1"/>
  <c r="Q50" i="1"/>
  <c r="Q53" i="1"/>
  <c r="Q54" i="1"/>
  <c r="Q56" i="1"/>
  <c r="Q57" i="1"/>
  <c r="Q58" i="1"/>
  <c r="Q59" i="1"/>
  <c r="Q60" i="1"/>
  <c r="I62" i="1"/>
  <c r="I30" i="1"/>
  <c r="L45" i="2" l="1"/>
  <c r="I64" i="1"/>
  <c r="E25" i="5"/>
  <c r="H12" i="5"/>
  <c r="H10" i="5"/>
  <c r="Q33" i="1"/>
  <c r="G16" i="5"/>
  <c r="F23" i="5"/>
  <c r="H23" i="5" s="1"/>
  <c r="G15" i="5"/>
  <c r="G14" i="5"/>
  <c r="G13" i="5"/>
  <c r="G12" i="5"/>
  <c r="G10" i="5"/>
  <c r="G17" i="5" s="1"/>
  <c r="G24" i="5" s="1"/>
  <c r="G9" i="5"/>
  <c r="F8" i="5"/>
  <c r="H8" i="5" s="1"/>
  <c r="G8" i="5"/>
  <c r="F7" i="5"/>
  <c r="G7" i="5"/>
  <c r="G21" i="5" s="1"/>
  <c r="G6" i="5"/>
  <c r="F6" i="5"/>
  <c r="H6" i="5" s="1"/>
  <c r="G5" i="5"/>
  <c r="F5" i="5"/>
  <c r="H5" i="5" s="1"/>
  <c r="H17" i="5"/>
  <c r="P174" i="1"/>
  <c r="O174" i="1"/>
  <c r="N174" i="1"/>
  <c r="M174" i="1"/>
  <c r="L174" i="1"/>
  <c r="P173" i="1"/>
  <c r="O173" i="1"/>
  <c r="N173" i="1"/>
  <c r="M173" i="1"/>
  <c r="L173" i="1"/>
  <c r="P170" i="1"/>
  <c r="O170" i="1"/>
  <c r="N170" i="1"/>
  <c r="M170" i="1"/>
  <c r="L170" i="1"/>
  <c r="P169" i="1"/>
  <c r="O169" i="1"/>
  <c r="N169" i="1"/>
  <c r="M169" i="1"/>
  <c r="L169" i="1"/>
  <c r="P168" i="1"/>
  <c r="O168" i="1"/>
  <c r="N168" i="1"/>
  <c r="M168" i="1"/>
  <c r="L168" i="1"/>
  <c r="P167" i="1"/>
  <c r="O167" i="1"/>
  <c r="N167" i="1"/>
  <c r="M167" i="1"/>
  <c r="L167" i="1"/>
  <c r="P166" i="1"/>
  <c r="O166" i="1"/>
  <c r="N166" i="1"/>
  <c r="M166" i="1"/>
  <c r="L166" i="1"/>
  <c r="P165" i="1"/>
  <c r="O165" i="1"/>
  <c r="N165" i="1"/>
  <c r="M165" i="1"/>
  <c r="L165" i="1"/>
  <c r="P164" i="1"/>
  <c r="O164" i="1"/>
  <c r="N164" i="1"/>
  <c r="M164" i="1"/>
  <c r="L164" i="1"/>
  <c r="P163" i="1"/>
  <c r="O163" i="1"/>
  <c r="N163" i="1"/>
  <c r="M163" i="1"/>
  <c r="L163" i="1"/>
  <c r="P161" i="1"/>
  <c r="O161" i="1"/>
  <c r="N161" i="1"/>
  <c r="M161" i="1"/>
  <c r="L161" i="1"/>
  <c r="P160" i="1"/>
  <c r="O160" i="1"/>
  <c r="N160" i="1"/>
  <c r="M160" i="1"/>
  <c r="L160" i="1"/>
  <c r="P159" i="1"/>
  <c r="O159" i="1"/>
  <c r="N159" i="1"/>
  <c r="M159" i="1"/>
  <c r="L159" i="1"/>
  <c r="P158" i="1"/>
  <c r="O158" i="1"/>
  <c r="N158" i="1"/>
  <c r="M158" i="1"/>
  <c r="L158" i="1"/>
  <c r="P157" i="1"/>
  <c r="O157" i="1"/>
  <c r="N157" i="1"/>
  <c r="M157" i="1"/>
  <c r="L157" i="1"/>
  <c r="P156" i="1"/>
  <c r="O156" i="1"/>
  <c r="N156" i="1"/>
  <c r="M156" i="1"/>
  <c r="L156" i="1"/>
  <c r="P154" i="1"/>
  <c r="O154" i="1"/>
  <c r="N154" i="1"/>
  <c r="M154" i="1"/>
  <c r="L154" i="1"/>
  <c r="P152" i="1"/>
  <c r="O152" i="1"/>
  <c r="N152" i="1"/>
  <c r="M152" i="1"/>
  <c r="L152" i="1"/>
  <c r="P151" i="1"/>
  <c r="O151" i="1"/>
  <c r="N151" i="1"/>
  <c r="M151" i="1"/>
  <c r="L151" i="1"/>
  <c r="N149" i="1"/>
  <c r="M149" i="1"/>
  <c r="L149" i="1"/>
  <c r="P148" i="1"/>
  <c r="O148" i="1"/>
  <c r="N148" i="1"/>
  <c r="M148" i="1"/>
  <c r="L148" i="1"/>
  <c r="P147" i="1"/>
  <c r="O147" i="1"/>
  <c r="N147" i="1"/>
  <c r="M147" i="1"/>
  <c r="L147" i="1"/>
  <c r="P146" i="1"/>
  <c r="O146" i="1"/>
  <c r="N146" i="1"/>
  <c r="M146" i="1"/>
  <c r="L146" i="1"/>
  <c r="P145" i="1"/>
  <c r="O145" i="1"/>
  <c r="N145" i="1"/>
  <c r="M145" i="1"/>
  <c r="L145" i="1"/>
  <c r="P144" i="1"/>
  <c r="O144" i="1"/>
  <c r="N144" i="1"/>
  <c r="M144" i="1"/>
  <c r="L144" i="1"/>
  <c r="P143" i="1"/>
  <c r="O143" i="1"/>
  <c r="N143" i="1"/>
  <c r="M143" i="1"/>
  <c r="L143" i="1"/>
  <c r="L128" i="1"/>
  <c r="M128" i="1"/>
  <c r="N128" i="1"/>
  <c r="O128" i="1"/>
  <c r="P128" i="1"/>
  <c r="L129" i="1"/>
  <c r="M129" i="1"/>
  <c r="N129" i="1"/>
  <c r="O129" i="1"/>
  <c r="P129" i="1"/>
  <c r="L130" i="1"/>
  <c r="M130" i="1"/>
  <c r="N130" i="1"/>
  <c r="O130" i="1"/>
  <c r="P130" i="1"/>
  <c r="L132" i="1"/>
  <c r="M132" i="1"/>
  <c r="N132" i="1"/>
  <c r="O132" i="1"/>
  <c r="P132" i="1"/>
  <c r="L133" i="1"/>
  <c r="M133" i="1"/>
  <c r="N133" i="1"/>
  <c r="O133" i="1"/>
  <c r="P133" i="1"/>
  <c r="L134" i="1"/>
  <c r="M134" i="1"/>
  <c r="N134" i="1"/>
  <c r="O134" i="1"/>
  <c r="P134" i="1"/>
  <c r="L135" i="1"/>
  <c r="M135" i="1"/>
  <c r="N135" i="1"/>
  <c r="O135" i="1"/>
  <c r="P135" i="1"/>
  <c r="L136" i="1"/>
  <c r="M136" i="1"/>
  <c r="N136" i="1"/>
  <c r="O136" i="1"/>
  <c r="P136" i="1"/>
  <c r="L137" i="1"/>
  <c r="M137" i="1"/>
  <c r="N137" i="1"/>
  <c r="O137" i="1"/>
  <c r="P137" i="1"/>
  <c r="M127" i="1"/>
  <c r="N127" i="1"/>
  <c r="O127" i="1"/>
  <c r="P127" i="1"/>
  <c r="L127" i="1"/>
  <c r="H149" i="1"/>
  <c r="P149" i="1" s="1"/>
  <c r="G149" i="1"/>
  <c r="O149" i="1" s="1"/>
  <c r="D171" i="1"/>
  <c r="E171" i="1"/>
  <c r="F171" i="1"/>
  <c r="D162" i="1"/>
  <c r="E162" i="1"/>
  <c r="F162" i="1"/>
  <c r="D150" i="1"/>
  <c r="D153" i="1" s="1"/>
  <c r="D155" i="1"/>
  <c r="E150" i="1"/>
  <c r="E153" i="1" s="1"/>
  <c r="E155" i="1" s="1"/>
  <c r="F150" i="1"/>
  <c r="F153" i="1" s="1"/>
  <c r="F155" i="1" s="1"/>
  <c r="H171" i="1"/>
  <c r="G171" i="1"/>
  <c r="H162" i="1"/>
  <c r="G162" i="1"/>
  <c r="K91" i="2"/>
  <c r="K86" i="2"/>
  <c r="K75" i="2"/>
  <c r="K108" i="2"/>
  <c r="K112" i="2"/>
  <c r="K111" i="2"/>
  <c r="K110" i="2"/>
  <c r="K109" i="2"/>
  <c r="K106" i="2"/>
  <c r="K105" i="2"/>
  <c r="K102" i="2"/>
  <c r="K101" i="2"/>
  <c r="K100" i="2"/>
  <c r="K99" i="2"/>
  <c r="K98" i="2"/>
  <c r="K97" i="2"/>
  <c r="K96" i="2"/>
  <c r="K93" i="2"/>
  <c r="K90" i="2"/>
  <c r="K89" i="2"/>
  <c r="K88" i="2"/>
  <c r="K87" i="2"/>
  <c r="K85" i="2"/>
  <c r="K73" i="2"/>
  <c r="K72" i="2"/>
  <c r="K71" i="2"/>
  <c r="K70" i="2"/>
  <c r="K69" i="2"/>
  <c r="K68" i="2"/>
  <c r="K67" i="2"/>
  <c r="K64" i="2"/>
  <c r="K63" i="2"/>
  <c r="K62" i="2"/>
  <c r="K59" i="2"/>
  <c r="K58" i="2"/>
  <c r="K57" i="2"/>
  <c r="K56" i="2"/>
  <c r="K55" i="2"/>
  <c r="K54" i="2"/>
  <c r="L108" i="2"/>
  <c r="L112" i="2"/>
  <c r="L111" i="2"/>
  <c r="L110" i="2"/>
  <c r="L109" i="2"/>
  <c r="L106" i="2"/>
  <c r="L105" i="2"/>
  <c r="L102" i="2"/>
  <c r="L101" i="2"/>
  <c r="L100" i="2"/>
  <c r="L99" i="2"/>
  <c r="L98" i="2"/>
  <c r="L97" i="2"/>
  <c r="L96" i="2"/>
  <c r="L93" i="2"/>
  <c r="L91" i="2"/>
  <c r="L90" i="2"/>
  <c r="L89" i="2"/>
  <c r="L88" i="2"/>
  <c r="L87" i="2"/>
  <c r="L86" i="2"/>
  <c r="L85" i="2"/>
  <c r="L75" i="2"/>
  <c r="L73" i="2"/>
  <c r="L72" i="2"/>
  <c r="L71" i="2"/>
  <c r="L70" i="2"/>
  <c r="L69" i="2"/>
  <c r="L68" i="2"/>
  <c r="L67" i="2"/>
  <c r="L55" i="2"/>
  <c r="L56" i="2"/>
  <c r="L57" i="2"/>
  <c r="L58" i="2"/>
  <c r="L59" i="2"/>
  <c r="L62" i="2"/>
  <c r="L63" i="2"/>
  <c r="L64" i="2"/>
  <c r="L54" i="2"/>
  <c r="D53" i="2"/>
  <c r="D66" i="2"/>
  <c r="D104" i="2"/>
  <c r="D95" i="2"/>
  <c r="D84" i="2"/>
  <c r="D83" i="2" s="1"/>
  <c r="L5" i="2"/>
  <c r="L6" i="2"/>
  <c r="L7" i="2"/>
  <c r="L8" i="2"/>
  <c r="L9" i="2"/>
  <c r="L10" i="2"/>
  <c r="L12" i="2"/>
  <c r="L14" i="2"/>
  <c r="L17" i="2"/>
  <c r="L18" i="2"/>
  <c r="L19" i="2"/>
  <c r="L21" i="2"/>
  <c r="L22" i="2"/>
  <c r="K6" i="2"/>
  <c r="K7" i="2"/>
  <c r="K8" i="2"/>
  <c r="K9" i="2"/>
  <c r="K10" i="2"/>
  <c r="K12" i="2"/>
  <c r="K14" i="2"/>
  <c r="K17" i="2"/>
  <c r="K18" i="2"/>
  <c r="K19" i="2"/>
  <c r="K21" i="2"/>
  <c r="K22" i="2"/>
  <c r="K5" i="2"/>
  <c r="E104" i="2"/>
  <c r="E95" i="2"/>
  <c r="E84" i="2"/>
  <c r="E83" i="2" s="1"/>
  <c r="E66" i="2"/>
  <c r="E53" i="2"/>
  <c r="D11" i="2"/>
  <c r="O119" i="1"/>
  <c r="N119" i="1"/>
  <c r="M119" i="1"/>
  <c r="L119" i="1"/>
  <c r="M117" i="1"/>
  <c r="N117" i="1"/>
  <c r="O117" i="1"/>
  <c r="M118" i="1"/>
  <c r="N118" i="1"/>
  <c r="O118" i="1"/>
  <c r="L118" i="1"/>
  <c r="L117" i="1"/>
  <c r="L95" i="1"/>
  <c r="M95" i="1"/>
  <c r="N95" i="1"/>
  <c r="O95" i="1"/>
  <c r="L97" i="1"/>
  <c r="M97" i="1"/>
  <c r="N97" i="1"/>
  <c r="O97" i="1"/>
  <c r="L98" i="1"/>
  <c r="M98" i="1"/>
  <c r="N98" i="1"/>
  <c r="O98" i="1"/>
  <c r="L99" i="1"/>
  <c r="M99" i="1"/>
  <c r="N99" i="1"/>
  <c r="O99" i="1"/>
  <c r="L101" i="1"/>
  <c r="M101" i="1"/>
  <c r="N101" i="1"/>
  <c r="O101" i="1"/>
  <c r="M102" i="1"/>
  <c r="N102" i="1"/>
  <c r="O102" i="1"/>
  <c r="L104" i="1"/>
  <c r="M104" i="1"/>
  <c r="N104" i="1"/>
  <c r="O104" i="1"/>
  <c r="L106" i="1"/>
  <c r="M106" i="1"/>
  <c r="N106" i="1"/>
  <c r="O106" i="1"/>
  <c r="L108" i="1"/>
  <c r="M108" i="1"/>
  <c r="N108" i="1"/>
  <c r="O108" i="1"/>
  <c r="L109" i="1"/>
  <c r="M109" i="1"/>
  <c r="N109" i="1"/>
  <c r="O109" i="1"/>
  <c r="L110" i="1"/>
  <c r="M110" i="1"/>
  <c r="N110" i="1"/>
  <c r="O110" i="1"/>
  <c r="L111" i="1"/>
  <c r="M111" i="1"/>
  <c r="N111" i="1"/>
  <c r="O111" i="1"/>
  <c r="L112" i="1"/>
  <c r="M112" i="1"/>
  <c r="N112" i="1"/>
  <c r="O112" i="1"/>
  <c r="L114" i="1"/>
  <c r="M114" i="1"/>
  <c r="N114" i="1"/>
  <c r="O114" i="1"/>
  <c r="L115" i="1"/>
  <c r="M115" i="1"/>
  <c r="N115" i="1"/>
  <c r="O115" i="1"/>
  <c r="M94" i="1"/>
  <c r="N94" i="1"/>
  <c r="O94" i="1"/>
  <c r="L94" i="1"/>
  <c r="P69" i="1"/>
  <c r="P70" i="1"/>
  <c r="P71" i="1"/>
  <c r="P72" i="1"/>
  <c r="P73" i="1"/>
  <c r="P74" i="1"/>
  <c r="P76" i="1"/>
  <c r="P78" i="1"/>
  <c r="P81" i="1"/>
  <c r="P82" i="1"/>
  <c r="P83" i="1"/>
  <c r="P85" i="1"/>
  <c r="P86" i="1"/>
  <c r="O70" i="1"/>
  <c r="O71" i="1"/>
  <c r="O72" i="1"/>
  <c r="O73" i="1"/>
  <c r="O74" i="1"/>
  <c r="O76" i="1"/>
  <c r="O78" i="1"/>
  <c r="O81" i="1"/>
  <c r="O82" i="1"/>
  <c r="O83" i="1"/>
  <c r="O85" i="1"/>
  <c r="O86" i="1"/>
  <c r="O69" i="1"/>
  <c r="G75" i="1"/>
  <c r="G87" i="1" s="1"/>
  <c r="O87" i="1" s="1"/>
  <c r="G103" i="1"/>
  <c r="O103" i="1" s="1"/>
  <c r="E103" i="1"/>
  <c r="M103" i="1" s="1"/>
  <c r="F103" i="1"/>
  <c r="N103" i="1" s="1"/>
  <c r="E11" i="2"/>
  <c r="H75" i="1"/>
  <c r="P75" i="1" s="1"/>
  <c r="D102" i="1"/>
  <c r="L102" i="1" s="1"/>
  <c r="G96" i="1"/>
  <c r="F96" i="1"/>
  <c r="F100" i="1" s="1"/>
  <c r="E96" i="1"/>
  <c r="M96" i="1" s="1"/>
  <c r="D96" i="1"/>
  <c r="P60" i="1"/>
  <c r="O60" i="1"/>
  <c r="N60" i="1"/>
  <c r="M60" i="1"/>
  <c r="L60" i="1"/>
  <c r="P59" i="1"/>
  <c r="O59" i="1"/>
  <c r="N59" i="1"/>
  <c r="M59" i="1"/>
  <c r="L59" i="1"/>
  <c r="P58" i="1"/>
  <c r="O58" i="1"/>
  <c r="N58" i="1"/>
  <c r="M58" i="1"/>
  <c r="L58" i="1"/>
  <c r="P57" i="1"/>
  <c r="O57" i="1"/>
  <c r="N57" i="1"/>
  <c r="M57" i="1"/>
  <c r="L57" i="1"/>
  <c r="P56" i="1"/>
  <c r="O56" i="1"/>
  <c r="N56" i="1"/>
  <c r="M56" i="1"/>
  <c r="L56" i="1"/>
  <c r="P54" i="1"/>
  <c r="O54" i="1"/>
  <c r="N54" i="1"/>
  <c r="M54" i="1"/>
  <c r="L54" i="1"/>
  <c r="P53" i="1"/>
  <c r="O53" i="1"/>
  <c r="N53" i="1"/>
  <c r="M53" i="1"/>
  <c r="L53" i="1"/>
  <c r="P50" i="1"/>
  <c r="O50" i="1"/>
  <c r="N50" i="1"/>
  <c r="M50" i="1"/>
  <c r="L50" i="1"/>
  <c r="P49" i="1"/>
  <c r="O49" i="1"/>
  <c r="N49" i="1"/>
  <c r="M49" i="1"/>
  <c r="L49" i="1"/>
  <c r="P48" i="1"/>
  <c r="O48" i="1"/>
  <c r="N48" i="1"/>
  <c r="M48" i="1"/>
  <c r="L48" i="1"/>
  <c r="P47" i="1"/>
  <c r="O47" i="1"/>
  <c r="N47" i="1"/>
  <c r="M47" i="1"/>
  <c r="L47" i="1"/>
  <c r="P46" i="1"/>
  <c r="O46" i="1"/>
  <c r="N46" i="1"/>
  <c r="M46" i="1"/>
  <c r="L46" i="1"/>
  <c r="P45" i="1"/>
  <c r="O45" i="1"/>
  <c r="N45" i="1"/>
  <c r="M45" i="1"/>
  <c r="L45" i="1"/>
  <c r="P44" i="1"/>
  <c r="O44" i="1"/>
  <c r="N44" i="1"/>
  <c r="M44" i="1"/>
  <c r="L44" i="1"/>
  <c r="P41" i="1"/>
  <c r="O41" i="1"/>
  <c r="N41" i="1"/>
  <c r="M41" i="1"/>
  <c r="L41" i="1"/>
  <c r="P40" i="1"/>
  <c r="O40" i="1"/>
  <c r="N40" i="1"/>
  <c r="M40" i="1"/>
  <c r="L40" i="1"/>
  <c r="P39" i="1"/>
  <c r="O39" i="1"/>
  <c r="N39" i="1"/>
  <c r="M39" i="1"/>
  <c r="L39" i="1"/>
  <c r="P38" i="1"/>
  <c r="O38" i="1"/>
  <c r="N38" i="1"/>
  <c r="M38" i="1"/>
  <c r="L38" i="1"/>
  <c r="P37" i="1"/>
  <c r="O37" i="1"/>
  <c r="N37" i="1"/>
  <c r="M37" i="1"/>
  <c r="L37" i="1"/>
  <c r="P36" i="1"/>
  <c r="O36" i="1"/>
  <c r="N36" i="1"/>
  <c r="M36" i="1"/>
  <c r="L36" i="1"/>
  <c r="P35" i="1"/>
  <c r="O35" i="1"/>
  <c r="N35" i="1"/>
  <c r="M35" i="1"/>
  <c r="L35" i="1"/>
  <c r="P34" i="1"/>
  <c r="O34" i="1"/>
  <c r="N34" i="1"/>
  <c r="M34" i="1"/>
  <c r="L34" i="1"/>
  <c r="P28" i="1"/>
  <c r="O28" i="1"/>
  <c r="N28" i="1"/>
  <c r="M28" i="1"/>
  <c r="L28" i="1"/>
  <c r="P26" i="1"/>
  <c r="O26" i="1"/>
  <c r="N26" i="1"/>
  <c r="M26" i="1"/>
  <c r="L26" i="1"/>
  <c r="P25" i="1"/>
  <c r="O25" i="1"/>
  <c r="N25" i="1"/>
  <c r="M25" i="1"/>
  <c r="L25" i="1"/>
  <c r="P24" i="1"/>
  <c r="O24" i="1"/>
  <c r="N24" i="1"/>
  <c r="M24" i="1"/>
  <c r="L24" i="1"/>
  <c r="P23" i="1"/>
  <c r="O23" i="1"/>
  <c r="N23" i="1"/>
  <c r="M23" i="1"/>
  <c r="L23" i="1"/>
  <c r="P22" i="1"/>
  <c r="O22" i="1"/>
  <c r="N22" i="1"/>
  <c r="M22" i="1"/>
  <c r="L22" i="1"/>
  <c r="P21" i="1"/>
  <c r="O21" i="1"/>
  <c r="N21" i="1"/>
  <c r="M21" i="1"/>
  <c r="L21" i="1"/>
  <c r="P20" i="1"/>
  <c r="O20" i="1"/>
  <c r="N20" i="1"/>
  <c r="M20" i="1"/>
  <c r="L20" i="1"/>
  <c r="M7" i="1"/>
  <c r="N7" i="1"/>
  <c r="O7" i="1"/>
  <c r="P7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L8" i="1"/>
  <c r="L9" i="1"/>
  <c r="L10" i="1"/>
  <c r="L11" i="1"/>
  <c r="L12" i="1"/>
  <c r="L14" i="1"/>
  <c r="L15" i="1"/>
  <c r="L16" i="1"/>
  <c r="L17" i="1"/>
  <c r="L7" i="1"/>
  <c r="D6" i="1"/>
  <c r="E6" i="1"/>
  <c r="F6" i="1"/>
  <c r="G6" i="1"/>
  <c r="D33" i="1"/>
  <c r="D32" i="1" s="1"/>
  <c r="E33" i="1"/>
  <c r="E32" i="1" s="1"/>
  <c r="F33" i="1"/>
  <c r="F32" i="1" s="1"/>
  <c r="G33" i="1"/>
  <c r="G32" i="1" s="1"/>
  <c r="D52" i="1"/>
  <c r="E52" i="1"/>
  <c r="F52" i="1"/>
  <c r="G52" i="1"/>
  <c r="D43" i="1"/>
  <c r="E43" i="1"/>
  <c r="F43" i="1"/>
  <c r="D19" i="1"/>
  <c r="E19" i="1"/>
  <c r="F19" i="1"/>
  <c r="H52" i="1"/>
  <c r="H43" i="1"/>
  <c r="G43" i="1"/>
  <c r="H33" i="1"/>
  <c r="H32" i="1" s="1"/>
  <c r="H19" i="1"/>
  <c r="G19" i="1"/>
  <c r="H6" i="1"/>
  <c r="F62" i="1" l="1"/>
  <c r="E30" i="1"/>
  <c r="F172" i="1"/>
  <c r="F175" i="1" s="1"/>
  <c r="P141" i="1"/>
  <c r="P150" i="1" s="1"/>
  <c r="P153" i="1" s="1"/>
  <c r="P155" i="1" s="1"/>
  <c r="L141" i="1"/>
  <c r="O141" i="1"/>
  <c r="O150" i="1" s="1"/>
  <c r="O153" i="1" s="1"/>
  <c r="O155" i="1" s="1"/>
  <c r="N141" i="1"/>
  <c r="N150" i="1" s="1"/>
  <c r="N153" i="1" s="1"/>
  <c r="N155" i="1" s="1"/>
  <c r="M141" i="1"/>
  <c r="M150" i="1" s="1"/>
  <c r="M153" i="1" s="1"/>
  <c r="M155" i="1" s="1"/>
  <c r="D30" i="1"/>
  <c r="H30" i="1"/>
  <c r="G23" i="5"/>
  <c r="G22" i="5"/>
  <c r="L53" i="2"/>
  <c r="K66" i="2"/>
  <c r="G77" i="1"/>
  <c r="O77" i="1" s="1"/>
  <c r="N171" i="1"/>
  <c r="L162" i="1"/>
  <c r="L33" i="1"/>
  <c r="L32" i="1" s="1"/>
  <c r="M33" i="1"/>
  <c r="M32" i="1" s="1"/>
  <c r="P6" i="1"/>
  <c r="D36" i="2"/>
  <c r="K36" i="2" s="1"/>
  <c r="L11" i="2"/>
  <c r="E36" i="2"/>
  <c r="L36" i="2" s="1"/>
  <c r="L66" i="2"/>
  <c r="K53" i="2"/>
  <c r="G20" i="5"/>
  <c r="G11" i="5"/>
  <c r="E114" i="2"/>
  <c r="D114" i="2"/>
  <c r="L104" i="2"/>
  <c r="L84" i="2"/>
  <c r="L83" i="2" s="1"/>
  <c r="L95" i="2"/>
  <c r="K104" i="2"/>
  <c r="E13" i="2"/>
  <c r="E77" i="2"/>
  <c r="D77" i="2"/>
  <c r="K95" i="2"/>
  <c r="E23" i="2"/>
  <c r="M6" i="1"/>
  <c r="N52" i="1"/>
  <c r="O52" i="1"/>
  <c r="P43" i="1"/>
  <c r="N43" i="1"/>
  <c r="O33" i="1"/>
  <c r="O32" i="1" s="1"/>
  <c r="F30" i="1"/>
  <c r="F64" i="1" s="1"/>
  <c r="O6" i="1"/>
  <c r="F21" i="5"/>
  <c r="H21" i="5" s="1"/>
  <c r="H7" i="5"/>
  <c r="G19" i="5"/>
  <c r="F22" i="5"/>
  <c r="H22" i="5" s="1"/>
  <c r="F11" i="5"/>
  <c r="H11" i="5" s="1"/>
  <c r="M19" i="1"/>
  <c r="P19" i="1"/>
  <c r="L43" i="1"/>
  <c r="F105" i="1"/>
  <c r="G80" i="1"/>
  <c r="G84" i="1" s="1"/>
  <c r="O84" i="1" s="1"/>
  <c r="N100" i="1"/>
  <c r="D172" i="1"/>
  <c r="D175" i="1" s="1"/>
  <c r="N19" i="1"/>
  <c r="L19" i="1"/>
  <c r="N33" i="1"/>
  <c r="N32" i="1" s="1"/>
  <c r="P33" i="1"/>
  <c r="P32" i="1" s="1"/>
  <c r="M43" i="1"/>
  <c r="M52" i="1"/>
  <c r="G30" i="1"/>
  <c r="G62" i="1"/>
  <c r="L52" i="1"/>
  <c r="P52" i="1"/>
  <c r="E100" i="1"/>
  <c r="O75" i="1"/>
  <c r="N96" i="1"/>
  <c r="Q62" i="1"/>
  <c r="H62" i="1"/>
  <c r="H64" i="1" s="1"/>
  <c r="L6" i="1"/>
  <c r="N6" i="1"/>
  <c r="D62" i="1"/>
  <c r="D64" i="1" s="1"/>
  <c r="D103" i="1"/>
  <c r="L103" i="1" s="1"/>
  <c r="G150" i="1"/>
  <c r="G153" i="1" s="1"/>
  <c r="G155" i="1" s="1"/>
  <c r="G172" i="1" s="1"/>
  <c r="G175" i="1" s="1"/>
  <c r="E172" i="1"/>
  <c r="E175" i="1" s="1"/>
  <c r="L150" i="1"/>
  <c r="L153" i="1" s="1"/>
  <c r="L155" i="1" s="1"/>
  <c r="P162" i="1"/>
  <c r="N162" i="1"/>
  <c r="M171" i="1"/>
  <c r="P171" i="1"/>
  <c r="Q30" i="1"/>
  <c r="K11" i="2"/>
  <c r="D13" i="2"/>
  <c r="D23" i="2"/>
  <c r="D100" i="1"/>
  <c r="L96" i="1"/>
  <c r="M162" i="1"/>
  <c r="O171" i="1"/>
  <c r="O96" i="1"/>
  <c r="G100" i="1"/>
  <c r="E62" i="1"/>
  <c r="E64" i="1" s="1"/>
  <c r="O19" i="1"/>
  <c r="O43" i="1"/>
  <c r="H77" i="1"/>
  <c r="H87" i="1"/>
  <c r="K84" i="2"/>
  <c r="K83" i="2" s="1"/>
  <c r="O162" i="1"/>
  <c r="L171" i="1"/>
  <c r="H150" i="1"/>
  <c r="H153" i="1" s="1"/>
  <c r="H155" i="1" s="1"/>
  <c r="H172" i="1" s="1"/>
  <c r="H175" i="1" s="1"/>
  <c r="F18" i="5"/>
  <c r="H18" i="5" s="1"/>
  <c r="G18" i="5"/>
  <c r="F24" i="5"/>
  <c r="F19" i="5"/>
  <c r="H19" i="5" s="1"/>
  <c r="F20" i="5"/>
  <c r="H20" i="5" s="1"/>
  <c r="K77" i="2" l="1"/>
  <c r="O80" i="1"/>
  <c r="N172" i="1"/>
  <c r="N175" i="1" s="1"/>
  <c r="P172" i="1"/>
  <c r="P175" i="1" s="1"/>
  <c r="L77" i="2"/>
  <c r="L172" i="1"/>
  <c r="L175" i="1" s="1"/>
  <c r="G25" i="5"/>
  <c r="E47" i="2"/>
  <c r="L47" i="2" s="1"/>
  <c r="D47" i="2"/>
  <c r="K47" i="2" s="1"/>
  <c r="D38" i="2"/>
  <c r="K38" i="2" s="1"/>
  <c r="O30" i="1"/>
  <c r="N62" i="1"/>
  <c r="P30" i="1"/>
  <c r="M30" i="1"/>
  <c r="P87" i="1"/>
  <c r="L13" i="2"/>
  <c r="E38" i="2"/>
  <c r="L38" i="2" s="1"/>
  <c r="L23" i="2"/>
  <c r="K23" i="2"/>
  <c r="K114" i="2"/>
  <c r="E16" i="2"/>
  <c r="L114" i="2"/>
  <c r="L62" i="1"/>
  <c r="N30" i="1"/>
  <c r="L30" i="1"/>
  <c r="M62" i="1"/>
  <c r="O62" i="1"/>
  <c r="P62" i="1"/>
  <c r="P64" i="1" s="1"/>
  <c r="M100" i="1"/>
  <c r="E105" i="1"/>
  <c r="G64" i="1"/>
  <c r="M172" i="1"/>
  <c r="M175" i="1" s="1"/>
  <c r="N105" i="1"/>
  <c r="F107" i="1"/>
  <c r="Q64" i="1"/>
  <c r="O172" i="1"/>
  <c r="O175" i="1" s="1"/>
  <c r="K13" i="2"/>
  <c r="D16" i="2"/>
  <c r="K16" i="2" s="1"/>
  <c r="F25" i="5"/>
  <c r="H25" i="5" s="1"/>
  <c r="P77" i="1"/>
  <c r="H80" i="1"/>
  <c r="O100" i="1"/>
  <c r="G105" i="1"/>
  <c r="L100" i="1"/>
  <c r="D105" i="1"/>
  <c r="E40" i="2" l="1"/>
  <c r="L16" i="2"/>
  <c r="D40" i="2"/>
  <c r="K40" i="2" s="1"/>
  <c r="O64" i="1"/>
  <c r="L64" i="1"/>
  <c r="N64" i="1"/>
  <c r="M64" i="1"/>
  <c r="K41" i="2"/>
  <c r="L40" i="2"/>
  <c r="E20" i="2"/>
  <c r="E44" i="2" s="1"/>
  <c r="F113" i="1"/>
  <c r="N113" i="1" s="1"/>
  <c r="N107" i="1"/>
  <c r="E107" i="1"/>
  <c r="M105" i="1"/>
  <c r="L105" i="1"/>
  <c r="D107" i="1"/>
  <c r="D20" i="2"/>
  <c r="P80" i="1"/>
  <c r="H84" i="1"/>
  <c r="D44" i="2" s="1"/>
  <c r="G107" i="1"/>
  <c r="O105" i="1"/>
  <c r="P84" i="1" l="1"/>
  <c r="K45" i="2"/>
  <c r="K20" i="2"/>
  <c r="K44" i="2"/>
  <c r="L20" i="2"/>
  <c r="L44" i="2"/>
  <c r="M107" i="1"/>
  <c r="E113" i="1"/>
  <c r="M113" i="1" s="1"/>
  <c r="O107" i="1"/>
  <c r="G113" i="1"/>
  <c r="O113" i="1" s="1"/>
  <c r="L107" i="1"/>
  <c r="D113" i="1"/>
  <c r="L1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Szécsi Balázs</author>
  </authors>
  <commentList>
    <comment ref="I50" authorId="0" shapeId="0" xr:uid="{DB273A8F-B1A5-416A-9DC1-C21A168D9BD6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Zugló: vételár fizetési kötelem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Szécsi Balázs</author>
  </authors>
  <commentList>
    <comment ref="H40" authorId="0" shapeId="0" xr:uid="{CFEB958E-C42B-4EAF-AC0F-8280C7E46B4D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3 hónap van csak KÁT-ban, a többi a piaci alapúban</t>
        </r>
      </text>
    </comment>
    <comment ref="B49" authorId="0" shapeId="0" xr:uid="{2F891499-9612-4837-AB33-3443804A3380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nem konszolidálódik, az ALTEO csak üzemeltet</t>
        </r>
      </text>
    </comment>
  </commentList>
</comments>
</file>

<file path=xl/sharedStrings.xml><?xml version="1.0" encoding="utf-8"?>
<sst xmlns="http://schemas.openxmlformats.org/spreadsheetml/2006/main" count="1200" uniqueCount="420">
  <si>
    <t>Mérleg</t>
  </si>
  <si>
    <t>Balance sheet</t>
  </si>
  <si>
    <t>'000 HUF</t>
  </si>
  <si>
    <t>FY</t>
  </si>
  <si>
    <t>Befektetett eszközök</t>
  </si>
  <si>
    <t>Fixed assets</t>
  </si>
  <si>
    <t>Erőművek és energiatermelő ingatlanok, gépek és berendezések</t>
  </si>
  <si>
    <t>Power plant and relatd equipments</t>
  </si>
  <si>
    <t>Egyéb gépek, felszerelések és berendezések</t>
  </si>
  <si>
    <t>Other equipment</t>
  </si>
  <si>
    <t>Nettó befektetés lízingbe</t>
  </si>
  <si>
    <t>Net investment into leased assets</t>
  </si>
  <si>
    <t>-</t>
  </si>
  <si>
    <t>Kibocsátási jogok</t>
  </si>
  <si>
    <t>Emission rights</t>
  </si>
  <si>
    <t>Egyéb immateriális eszközök</t>
  </si>
  <si>
    <t>Other intangible assets</t>
  </si>
  <si>
    <t>Üzemeltetési szerződések</t>
  </si>
  <si>
    <t>Operational contracts</t>
  </si>
  <si>
    <t>Goodwill</t>
  </si>
  <si>
    <t>--</t>
  </si>
  <si>
    <t>Halasztott adó eszközök</t>
  </si>
  <si>
    <t>Deferred tax assets</t>
  </si>
  <si>
    <t>Tartósan adott kölcsön</t>
  </si>
  <si>
    <t>Long term loans</t>
  </si>
  <si>
    <t>Tartós részesedés kapcsolt vállalkozásban</t>
  </si>
  <si>
    <t>Forgóeszközök</t>
  </si>
  <si>
    <t>Current assets</t>
  </si>
  <si>
    <t>Készletek</t>
  </si>
  <si>
    <t>Invetories</t>
  </si>
  <si>
    <t>Vevőkövetelések</t>
  </si>
  <si>
    <t>Receivables</t>
  </si>
  <si>
    <t>Egyéb pénzügyi eszközök</t>
  </si>
  <si>
    <t>Other financial assets</t>
  </si>
  <si>
    <t>Egyéb követelések és időbeli elhatárolások</t>
  </si>
  <si>
    <t>Other receivables and accruals</t>
  </si>
  <si>
    <t>Nyereségadó követelések</t>
  </si>
  <si>
    <t>Corporate income tax receivables</t>
  </si>
  <si>
    <t>Pénzeszközök és egyenértékeseik</t>
  </si>
  <si>
    <t>Cash &amp; cash equivalents</t>
  </si>
  <si>
    <t>Értékesítési céllal tartott eszközök</t>
  </si>
  <si>
    <t>Assets held for sale</t>
  </si>
  <si>
    <t>ESZKÖZÖK ÖSSZESEN</t>
  </si>
  <si>
    <t>Total assets</t>
  </si>
  <si>
    <t>Saját tőke</t>
  </si>
  <si>
    <t xml:space="preserve">Equity  </t>
  </si>
  <si>
    <t>Anyavállalat tulajdonosaira jutó tőke</t>
  </si>
  <si>
    <t>Equity attributable to shareholders</t>
  </si>
  <si>
    <t>Jegyzett tőke</t>
  </si>
  <si>
    <t>Share capital</t>
  </si>
  <si>
    <t>Additional paid-in capital</t>
  </si>
  <si>
    <t>Részvény alapú kifizetések tartaléka</t>
  </si>
  <si>
    <t>Share based payment reserve</t>
  </si>
  <si>
    <t>Eredménytartalék</t>
  </si>
  <si>
    <t>Retained earnings</t>
  </si>
  <si>
    <t>Saját részvény miatti tulajdonosi tranzakció</t>
  </si>
  <si>
    <t>Adjustment due to treasury shares</t>
  </si>
  <si>
    <t>Cash flow hedge tartaléka</t>
  </si>
  <si>
    <t>Cash flow hedge reserves</t>
  </si>
  <si>
    <t>Átváltási különbözet</t>
  </si>
  <si>
    <t>Nem kontrolláló érdekeltség</t>
  </si>
  <si>
    <t>Minority interest</t>
  </si>
  <si>
    <t>Hosszú lejáratú kötelezettségek</t>
  </si>
  <si>
    <t>Long term liabilities</t>
  </si>
  <si>
    <t>Hosszú lejáratú hitelek és kölcsönök</t>
  </si>
  <si>
    <t>Tartozások kötvénykibocsátásból</t>
  </si>
  <si>
    <t>Issued bonds</t>
  </si>
  <si>
    <t>Pénzügyilízing-tartozások</t>
  </si>
  <si>
    <t>Financial leasing</t>
  </si>
  <si>
    <t>Halasztott adó kötelezettségek</t>
  </si>
  <si>
    <t>Deferred tax liabilities</t>
  </si>
  <si>
    <t>Céltartalékok</t>
  </si>
  <si>
    <t>Provisions</t>
  </si>
  <si>
    <t>Halasztott bevételek</t>
  </si>
  <si>
    <t>Deferred income</t>
  </si>
  <si>
    <t>Egyéb hosszú lejáratú kötelezettségek</t>
  </si>
  <si>
    <t>Other long term liabilities</t>
  </si>
  <si>
    <t>Rövid lejáratú kötelezettségek</t>
  </si>
  <si>
    <t>Short term liabilities</t>
  </si>
  <si>
    <t>Rövid lejáratú hitelek, kölcsönök</t>
  </si>
  <si>
    <t>Rövid lejáratú kötvénytartozások</t>
  </si>
  <si>
    <t>Szállítótartozások</t>
  </si>
  <si>
    <t>Payables</t>
  </si>
  <si>
    <t>Egyéb pénzügyi kötelezettségek</t>
  </si>
  <si>
    <t>Other financial liabilities</t>
  </si>
  <si>
    <t>Egyéb rövid lejáratú kötelezettségek és időbeli elhatárolások</t>
  </si>
  <si>
    <t>Other short term liabilities and deferrals</t>
  </si>
  <si>
    <t>Nyereségadó kötelezettségek</t>
  </si>
  <si>
    <t>Corporate income tax liabilities</t>
  </si>
  <si>
    <t>Vevői előlegek</t>
  </si>
  <si>
    <t>Advances from cutomers</t>
  </si>
  <si>
    <t>SAJÁT TŐKE és KÖTELEZETTSÉGEK ÖSSZESEN</t>
  </si>
  <si>
    <t>Total equity and liabilities</t>
  </si>
  <si>
    <t>M Ft-ban</t>
  </si>
  <si>
    <t>év végi</t>
  </si>
  <si>
    <t xml:space="preserve"> M Ft-ban</t>
  </si>
  <si>
    <t>ezer EUR-ban</t>
  </si>
  <si>
    <t>Income Statement</t>
  </si>
  <si>
    <t>Árbevételek</t>
  </si>
  <si>
    <t>Net sales</t>
  </si>
  <si>
    <t>Közvetlen ráfordítások</t>
  </si>
  <si>
    <t>Direct costs</t>
  </si>
  <si>
    <t>Bruttó eredmény</t>
  </si>
  <si>
    <t>Gross profit</t>
  </si>
  <si>
    <t>Adminisztratív ráfordítások</t>
  </si>
  <si>
    <t>Administrative expenses</t>
  </si>
  <si>
    <t>Értékesítési ráfordítások</t>
  </si>
  <si>
    <t>Marketing expenses</t>
  </si>
  <si>
    <t>Egyéb bevételek/(ráfordítások)</t>
  </si>
  <si>
    <t>Other income &amp; expenses</t>
  </si>
  <si>
    <t>Üzemi eredmény</t>
  </si>
  <si>
    <t>Operating profit</t>
  </si>
  <si>
    <t>Pénzügyi bevételek</t>
  </si>
  <si>
    <t>Financial income</t>
  </si>
  <si>
    <t>Pénzügyi ráfordítások</t>
  </si>
  <si>
    <t>Financial expenses</t>
  </si>
  <si>
    <t>Pénzügyi ráfordítások, nettó</t>
  </si>
  <si>
    <t>Net financial costs</t>
  </si>
  <si>
    <t>Bevétel negatív goodwill elszámolásából</t>
  </si>
  <si>
    <t>Negative goodwill</t>
  </si>
  <si>
    <t>Adózás előtti eredmény</t>
  </si>
  <si>
    <t>Income before taxes</t>
  </si>
  <si>
    <t>Jövedelemadó ráfordítás</t>
  </si>
  <si>
    <t>Corporate income tax</t>
  </si>
  <si>
    <t>Nettó eredmény (folytatandó tevékenységekből)</t>
  </si>
  <si>
    <t>Net profit</t>
  </si>
  <si>
    <t>Ebből az anyavállalat tulajdonosait illeti:</t>
  </si>
  <si>
    <t>o/w profit attributable to equity holders</t>
  </si>
  <si>
    <t>Ebből a kisebbségi részesedést illeti:</t>
  </si>
  <si>
    <t>o/w minorty interests</t>
  </si>
  <si>
    <t>Egyéb átfogó eredmény (nyereségadó hatása után)</t>
  </si>
  <si>
    <t>Other comprehensive income</t>
  </si>
  <si>
    <t>Ebből nem kontrolláló érdekeltséget illeti:</t>
  </si>
  <si>
    <t>Átfogó eredmény (folytatandó tevékenységekből)</t>
  </si>
  <si>
    <t>Comprehensive income</t>
  </si>
  <si>
    <t>Ebből a nem kontrolláló érdekeltséget érinti:</t>
  </si>
  <si>
    <t>Egy részvényre jutó eredmény (Ft/részvény) alapértéke</t>
  </si>
  <si>
    <t>EPS</t>
  </si>
  <si>
    <t>Egy részvényre jutó eredmény (Ft/részvény) higított értéke</t>
  </si>
  <si>
    <t>EPS diluted</t>
  </si>
  <si>
    <t>EBITDA</t>
  </si>
  <si>
    <t>2018 H1</t>
  </si>
  <si>
    <t>Net Sales</t>
  </si>
  <si>
    <t>Material Costs</t>
  </si>
  <si>
    <t>Személyi jellegű ráfordítások</t>
  </si>
  <si>
    <t>Personal related costs</t>
  </si>
  <si>
    <t>Értékcsökkenés</t>
  </si>
  <si>
    <t>Depreciation</t>
  </si>
  <si>
    <t>Other income/(costs)</t>
  </si>
  <si>
    <t>Értékvesztés miatti veszteségek</t>
  </si>
  <si>
    <t>Amortization costs</t>
  </si>
  <si>
    <t>Működési Eredmény</t>
  </si>
  <si>
    <t>Operating Profit</t>
  </si>
  <si>
    <t>Pénzügyi bevételek/(ráfordítások)</t>
  </si>
  <si>
    <t>Net Financial profit/(loss)</t>
  </si>
  <si>
    <t>Earnings Before Tax</t>
  </si>
  <si>
    <t>Corporate tax expense</t>
  </si>
  <si>
    <t>Net Profit</t>
  </si>
  <si>
    <t>o/w to equity holders</t>
  </si>
  <si>
    <t>Ebből a nem kontrolláló érdekeltséget illeti:</t>
  </si>
  <si>
    <t>o/w to minority interests</t>
  </si>
  <si>
    <t>Egyéb átfogó eredmény</t>
  </si>
  <si>
    <t>Other Comprehensive Income</t>
  </si>
  <si>
    <t>Comprehensive Income</t>
  </si>
  <si>
    <t>EPS (átfogó nélkül)</t>
  </si>
  <si>
    <t>Higított EPS (átfogó nélkül)</t>
  </si>
  <si>
    <t>Millió Forint</t>
  </si>
  <si>
    <t>HUF Millions</t>
  </si>
  <si>
    <t>Éves átlagos EUR/HUF árfolyam</t>
  </si>
  <si>
    <t>2017 H1</t>
  </si>
  <si>
    <t>Anyagjellegű ráfordítások</t>
  </si>
  <si>
    <t>nem auditált</t>
  </si>
  <si>
    <t>Tartósan adott kölcsön és letétek</t>
  </si>
  <si>
    <t>Tartós részesedés társult vállalkozásban</t>
  </si>
  <si>
    <t>Forgóeszközök és értékesítési céllal tartott eszközök</t>
  </si>
  <si>
    <t>Anyavállalat tulajdonosaira jutó saját tőke</t>
  </si>
  <si>
    <t>Tulajdonosi tranzakciók</t>
  </si>
  <si>
    <t>Átváltási különbözetek</t>
  </si>
  <si>
    <t>Pénzügyi lízing tartozások</t>
  </si>
  <si>
    <t>Rövid lejáratú hitelek és kölcsönök</t>
  </si>
  <si>
    <t>Debentures</t>
  </si>
  <si>
    <t>Not audited</t>
  </si>
  <si>
    <t>félév végi</t>
  </si>
  <si>
    <t>Cash-flow</t>
  </si>
  <si>
    <t>Cash Flow Statement</t>
  </si>
  <si>
    <t>Kamatbevételek és kamatráfordítások (nettó)</t>
  </si>
  <si>
    <t>Interest income / expense</t>
  </si>
  <si>
    <t>Értékcsökkenési leírás</t>
  </si>
  <si>
    <t>Depreciation &amp; Amortisation</t>
  </si>
  <si>
    <t>Értékvesztések (kivéve nettó forgótőkéhez tartozó)</t>
  </si>
  <si>
    <t>Impairment</t>
  </si>
  <si>
    <t>Céltartalékok képzése és feloldása</t>
  </si>
  <si>
    <t>Leszerelési költségre képzett céltartalék változása (IAS 16)</t>
  </si>
  <si>
    <t>Provisions for decommission</t>
  </si>
  <si>
    <t>Halasztott bevételek változása</t>
  </si>
  <si>
    <t>Changes in deferred incomes</t>
  </si>
  <si>
    <t>Nem realizált árfolyamkülönbözet (kivéve nettó forgótőke)</t>
  </si>
  <si>
    <t>Non-realised FX gain / loss</t>
  </si>
  <si>
    <t>Negatív goodwill</t>
  </si>
  <si>
    <t>Részvény alapú kifizetés költsége</t>
  </si>
  <si>
    <t>Nettó forgótőke változása:</t>
  </si>
  <si>
    <t>Changes in net working capital</t>
  </si>
  <si>
    <t>Készletek változása</t>
  </si>
  <si>
    <t>Changes in inventories</t>
  </si>
  <si>
    <t>Vevők, egyéb pénzügyi eszközök, egyéb követelések és aktív időbeli elh.vált.</t>
  </si>
  <si>
    <t>Changes in receivables, other current assets and accruals</t>
  </si>
  <si>
    <t>Egyéb pénzügyi eszközök változása</t>
  </si>
  <si>
    <t>Changes in other financial assets</t>
  </si>
  <si>
    <t>Szállítói tartozások, egyéb kötelezettségek és passzív időbeli elh.változása</t>
  </si>
  <si>
    <t>Changes in payables, other liabilities and deferrals</t>
  </si>
  <si>
    <t>Egyéb pénzügyi kötelezettségek változása</t>
  </si>
  <si>
    <t>Changes in other financial liabilities</t>
  </si>
  <si>
    <t>Vevőktől kapott előlegek állományváltozása</t>
  </si>
  <si>
    <t>Changes in advances received from cutomers</t>
  </si>
  <si>
    <t>Nettó forgótőke változása</t>
  </si>
  <si>
    <t>Tárgyi eszközök értékesítésén elért eredmény</t>
  </si>
  <si>
    <t>Profit realised on sale of tangible assets</t>
  </si>
  <si>
    <t>Kifizetett kamatok</t>
  </si>
  <si>
    <t>Interest expenses</t>
  </si>
  <si>
    <t>Adózás előtti működési cash-flow</t>
  </si>
  <si>
    <t>Cash generated from operations before tax payment</t>
  </si>
  <si>
    <t>Kifizetett nyereségadó</t>
  </si>
  <si>
    <t>Corporate income tax paid</t>
  </si>
  <si>
    <t>Pénzkeletkezés / pénzfelhasználás működési tevékenységből</t>
  </si>
  <si>
    <t>Operating Cash Flow</t>
  </si>
  <si>
    <t>Betétek és befektetések kamatai</t>
  </si>
  <si>
    <t>Interests on deposits and investments</t>
  </si>
  <si>
    <t>Tárgyi és immateriális eszközök vásárlása</t>
  </si>
  <si>
    <t>Purchase of tangible and intangible assets</t>
  </si>
  <si>
    <t>Vállalkozások megszerzésére fordított összeg (nettó)</t>
  </si>
  <si>
    <t>Acquisitions (net amount)</t>
  </si>
  <si>
    <t>Tárgyi eszközök értékesítésének pénzbevétele</t>
  </si>
  <si>
    <t>Income on sale of tangible assets</t>
  </si>
  <si>
    <t>Tartósan adott kölcsön kisebbségi érdekeltségeknek - folyósítás</t>
  </si>
  <si>
    <t>Long term loans for minority interests - granting</t>
  </si>
  <si>
    <t>Tartósan adott kölcsön kisebbségi érdekeltségeknek - visszafizetés</t>
  </si>
  <si>
    <t>Long term loans for minority interests - repayment</t>
  </si>
  <si>
    <t>Pénzkeletkezés / pénzfelhasználás befektetési tevékenységből</t>
  </si>
  <si>
    <t>Investing Cash Flow</t>
  </si>
  <si>
    <t>Hosszú lejáratú hitelek és kölcsönök felvétele</t>
  </si>
  <si>
    <t>Hosszú lejáratú hitelek és kölcsönök visszafizetése</t>
  </si>
  <si>
    <t>Repayment of long term loans</t>
  </si>
  <si>
    <t>Kötvénykibocsátás bevétele</t>
  </si>
  <si>
    <t>Issuance of bonds</t>
  </si>
  <si>
    <t>Kötvények visszafizetése</t>
  </si>
  <si>
    <t>Repurchase of bonds</t>
  </si>
  <si>
    <t>Egyéb tulajdonosi tranzakciók</t>
  </si>
  <si>
    <t>Other shareholder's transactions</t>
  </si>
  <si>
    <t>Osztalékfizetés</t>
  </si>
  <si>
    <t>Kiosztás a nem kontrolláló érdekeltségeknek</t>
  </si>
  <si>
    <t>Allocation for minority interests</t>
  </si>
  <si>
    <t>Finanszírozás rövid távú kölcsönökkel, hitelekkel</t>
  </si>
  <si>
    <t>Changes in short term loans</t>
  </si>
  <si>
    <t>Pénzkeletkezés / pénzfelhasználás finanszírozási tevékenységből</t>
  </si>
  <si>
    <t>Financing Cash Flow</t>
  </si>
  <si>
    <t>Pénzeszközök állományváltozása</t>
  </si>
  <si>
    <t>Net Cash Flow</t>
  </si>
  <si>
    <t>Nyitó pénzeszközök és egyenértékesei</t>
  </si>
  <si>
    <t>Cash and cash equivalents at 1st January</t>
  </si>
  <si>
    <t>Átvátási különbozet pénzen</t>
  </si>
  <si>
    <t>Záró pénzeszközök és egyenértékesei</t>
  </si>
  <si>
    <t>Cash and cash equivalents at 31st December</t>
  </si>
  <si>
    <t>Változás</t>
  </si>
  <si>
    <t>management account</t>
  </si>
  <si>
    <t>Hő- és villamosenergia-termelés (KÁT rendszeren kívül)</t>
  </si>
  <si>
    <t>Villamosenergia-termelés
(KÁT rendszerben)</t>
  </si>
  <si>
    <t>Energetikai vállalkozás és szolgáltatások</t>
  </si>
  <si>
    <t>Energia kiskereskedelem</t>
  </si>
  <si>
    <t>Egyéb</t>
  </si>
  <si>
    <t>Szegmensek közötti kiszűrések</t>
  </si>
  <si>
    <t>Árbevétel</t>
  </si>
  <si>
    <t>Működési költségek</t>
  </si>
  <si>
    <t>  adatok  M Ft-ban </t>
  </si>
  <si>
    <t>Eredméynkimutatás</t>
  </si>
  <si>
    <t>EREDMÉNYKIMUTATÁS régi struktúra</t>
  </si>
  <si>
    <t>Energy production (market base)</t>
  </si>
  <si>
    <t>Energy production (feed-in tariff)</t>
  </si>
  <si>
    <t>Energy services</t>
  </si>
  <si>
    <t>Energy supply &amp;trading</t>
  </si>
  <si>
    <t>Other</t>
  </si>
  <si>
    <t>Ebből: Helyi iparűzési adó ráfordítás</t>
  </si>
  <si>
    <t>o/w local tax</t>
  </si>
  <si>
    <t>Profit and Loss Statement</t>
  </si>
  <si>
    <t>2019 H1</t>
  </si>
  <si>
    <t>Letétek, pénzügyi biztosítékok</t>
  </si>
  <si>
    <t>Használati jogok (Lízing eszközök)</t>
  </si>
  <si>
    <t>%
2018/2017</t>
  </si>
  <si>
    <t>Power plant and related equipments</t>
  </si>
  <si>
    <t>2017 H2</t>
  </si>
  <si>
    <t>2018 H2</t>
  </si>
  <si>
    <t>2019 H2</t>
  </si>
  <si>
    <t>EUR '000</t>
  </si>
  <si>
    <t>2017 Q1</t>
  </si>
  <si>
    <t>2018 Q2</t>
  </si>
  <si>
    <t>2017Q2</t>
  </si>
  <si>
    <t>2017 Q3</t>
  </si>
  <si>
    <t>2017Q4</t>
  </si>
  <si>
    <t>2018Q1</t>
  </si>
  <si>
    <t>2018 Q3</t>
  </si>
  <si>
    <t>2019 Q3</t>
  </si>
  <si>
    <t>2019 Q2</t>
  </si>
  <si>
    <t>2018 Q4</t>
  </si>
  <si>
    <t>2019 Q1</t>
  </si>
  <si>
    <t>Tőketartalék</t>
  </si>
  <si>
    <t>Leasing receivables (&lt; one year)</t>
  </si>
  <si>
    <t>Shares in related companies (long term)</t>
  </si>
  <si>
    <t>Conversion margin</t>
  </si>
  <si>
    <t>Cost of share-base</t>
  </si>
  <si>
    <t>Deposits, financial collaterals</t>
  </si>
  <si>
    <t>Utilization rights for leased assets</t>
  </si>
  <si>
    <t>P&amp;L</t>
  </si>
  <si>
    <t>Eredménykimutatás</t>
  </si>
  <si>
    <t>Lízingbe adott eszköz (rövid)</t>
  </si>
  <si>
    <t>Short term loans</t>
  </si>
  <si>
    <t>RV szám</t>
  </si>
  <si>
    <t>Higított RV szám</t>
  </si>
  <si>
    <t>negyedéves átlag árfolyam</t>
  </si>
  <si>
    <t>not audited</t>
  </si>
  <si>
    <t>2020 Q1</t>
  </si>
  <si>
    <t>2019 Q4</t>
  </si>
  <si>
    <t>2020 Q2</t>
  </si>
  <si>
    <t>HUF/EUR</t>
  </si>
  <si>
    <t>Villamosenergia-termelés</t>
  </si>
  <si>
    <t>Energy Production (feed-in-tariff)</t>
  </si>
  <si>
    <t>Revenues</t>
  </si>
  <si>
    <t>Operating cost</t>
  </si>
  <si>
    <t>millió Ft</t>
  </si>
  <si>
    <t>HUF million</t>
  </si>
  <si>
    <t>Hő- és villamos energia termelés (piaci)</t>
  </si>
  <si>
    <t>Energy Production (market base)</t>
  </si>
  <si>
    <t>Energy supply &amp; trading</t>
  </si>
  <si>
    <t>Szegmensek összesen kiszűrések nélkül</t>
  </si>
  <si>
    <t>Szegmensek összesen kiszűrésekkel</t>
  </si>
  <si>
    <t>Segments total with adjustments</t>
  </si>
  <si>
    <t>Segments total w/o adjustments</t>
  </si>
  <si>
    <t>ebből hitelek, kölcsönök, kötvények, lízing</t>
  </si>
  <si>
    <t>of which loans, bonds, leasing</t>
  </si>
  <si>
    <t>2019Q4</t>
  </si>
  <si>
    <t>%
2019/2018</t>
  </si>
  <si>
    <t>Rövid lejáratú pénzügyi lízing tartozások</t>
  </si>
  <si>
    <t>Leasing liabilities</t>
  </si>
  <si>
    <t>Tárgyi eszközök értékesítésén és kvóta visszaadásokon elért (nyereség), veszteség</t>
  </si>
  <si>
    <t>Halasztott adó változása</t>
  </si>
  <si>
    <t>Natural gas consumtion - GJ - power plants</t>
  </si>
  <si>
    <t>Felhasznált gáz - GJ-ban - Erőművek</t>
  </si>
  <si>
    <t>Sold energy - Energy supply and trading - MWh</t>
  </si>
  <si>
    <t>Értékesített energia - Energia kiskereskedelem - MWh</t>
  </si>
  <si>
    <t>Győr</t>
  </si>
  <si>
    <t>Electricity</t>
  </si>
  <si>
    <t>Villamos energia</t>
  </si>
  <si>
    <t>Sopron</t>
  </si>
  <si>
    <t>Natural gas</t>
  </si>
  <si>
    <t>Földgáz</t>
  </si>
  <si>
    <t>Kazincbarcika</t>
  </si>
  <si>
    <t>Total</t>
  </si>
  <si>
    <t>Összesen</t>
  </si>
  <si>
    <t>Ózd</t>
  </si>
  <si>
    <t>Tiszaújváros</t>
  </si>
  <si>
    <t>Zugló</t>
  </si>
  <si>
    <t>Agria Park</t>
  </si>
  <si>
    <t>Produced electricity - Market-based sales - MWh</t>
  </si>
  <si>
    <t>Termelt villamos energia - Erőművek - MWh</t>
  </si>
  <si>
    <t>Sold electricity - Virtual Power Plant - MWh</t>
  </si>
  <si>
    <t>Értékesített villamos energia - Nagykereskedelem - MWh</t>
  </si>
  <si>
    <t>Jánossomorja</t>
  </si>
  <si>
    <t>Ács</t>
  </si>
  <si>
    <t>Pápakovácsi</t>
  </si>
  <si>
    <t>Produced heat energy - power plants - GJ</t>
  </si>
  <si>
    <t>Termelt hőenergia - Erőművek - GJ</t>
  </si>
  <si>
    <t>Produced electricity - Feed-in tariff system - MWh</t>
  </si>
  <si>
    <t>Törökszentmiklós</t>
  </si>
  <si>
    <t>Debrecen 1</t>
  </si>
  <si>
    <t>Debrecen 2</t>
  </si>
  <si>
    <t>Kisújszállás</t>
  </si>
  <si>
    <t>Nyíregyháza</t>
  </si>
  <si>
    <t>Nagykőrös - Biogas</t>
  </si>
  <si>
    <t>Nagykőrös - Biogáz</t>
  </si>
  <si>
    <t>Felsődobsza</t>
  </si>
  <si>
    <t>Gibárt</t>
  </si>
  <si>
    <t>Domaszék</t>
  </si>
  <si>
    <t>Monor</t>
  </si>
  <si>
    <t>Renewable capacities - MW</t>
  </si>
  <si>
    <t>Megújuló kapacitások - MW</t>
  </si>
  <si>
    <t>Wind</t>
  </si>
  <si>
    <t>Szél</t>
  </si>
  <si>
    <t>Hydro</t>
  </si>
  <si>
    <t>Víz</t>
  </si>
  <si>
    <t>Solar</t>
  </si>
  <si>
    <t>Nap</t>
  </si>
  <si>
    <t>Biogas</t>
  </si>
  <si>
    <t>Biogáz</t>
  </si>
  <si>
    <t>Control Centre capacities - MW</t>
  </si>
  <si>
    <t>Szabályozó központ (saját tulajdonú) kapacitások- MW</t>
  </si>
  <si>
    <t>Gas engines</t>
  </si>
  <si>
    <t>Gázmotorok</t>
  </si>
  <si>
    <t>Batteries</t>
  </si>
  <si>
    <t>Akkumulátorok</t>
  </si>
  <si>
    <t>Renewables</t>
  </si>
  <si>
    <t>Megújuló</t>
  </si>
  <si>
    <t>Árbevétel külső</t>
  </si>
  <si>
    <t>Árbevétel (csoporton belül)</t>
  </si>
  <si>
    <t>Egyéb bevétel és Egyéb ráfordítás</t>
  </si>
  <si>
    <t>Villamosenergia-termelés
(Támogatott rendszerben)</t>
  </si>
  <si>
    <t>Hő- és villamosenergia-termelés (Támogatott rendszeren kívül)</t>
  </si>
  <si>
    <t>Villamosenergia-termelés (támogatott rendszerben)</t>
  </si>
  <si>
    <t>Balatonberény</t>
  </si>
  <si>
    <t>Nagykőrös - nap</t>
  </si>
  <si>
    <t>Nagykőrös - solar</t>
  </si>
  <si>
    <t>2020 H1</t>
  </si>
  <si>
    <t>2020 H2</t>
  </si>
  <si>
    <t>MÁSODIK FÉLÉVES TELJESÍTMÉNY</t>
  </si>
  <si>
    <t>2020 Q3</t>
  </si>
  <si>
    <t>Ebből: helyi iparűzési adó ráfordítás</t>
  </si>
  <si>
    <t>ouf of which is local tax</t>
  </si>
  <si>
    <t>Short term leasing liabilities</t>
  </si>
  <si>
    <t xml:space="preserve">980 M </t>
  </si>
  <si>
    <t>Árbevétel (WAM csoporton belül)</t>
  </si>
  <si>
    <t>ebből ALTEO csoporton belüli villamos energia értékesítés</t>
  </si>
  <si>
    <t>Bőny</t>
  </si>
  <si>
    <t>Bábolna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</si>
</sst>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&quot;-&quot;??\ _F_t_-;_-@_-"/>
    <numFmt numFmtId="165" formatCode="#,##0.0_);\(#,##0.0\);\-\-_);@_)"/>
    <numFmt numFmtId="166" formatCode="#,##0_);\(#,##0\);\-\-_);@_)"/>
    <numFmt numFmtId="167" formatCode="#,##0_);\(#,##0\);&quot;-  &quot;;&quot; &quot;@"/>
    <numFmt numFmtId="168" formatCode="_-* #,##0_F_t_-;* \(#,##0\)_F_t_-;_-* &quot;-&quot;\ _F_t_-;_-@_-\ "/>
    <numFmt numFmtId="169" formatCode="#,##0.00_);\(#,##0.00\);&quot;-  &quot;;&quot; &quot;@"/>
    <numFmt numFmtId="170" formatCode="_-* #,##0\ _F_t_-;\-* #,##0\ _F_t_-;_-* &quot;-&quot;??\ _F_t_-;_-@_-"/>
    <numFmt numFmtId="171" formatCode="0.0%"/>
    <numFmt numFmtId="172" formatCode="#,##0.0"/>
    <numFmt numFmtId="173" formatCode="_(* #,##0_);_(* \(#,##0\);_(* &quot;-&quot;??_);_(@_)"/>
    <numFmt numFmtId="174" formatCode="_-* #,##0.00\ [$€-1]_-;\-* #,##0.00\ [$€-1]_-;_-* &quot;-&quot;??\ [$€-1]_-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9"/>
      <color theme="0"/>
      <name val="Arial"/>
      <family val="2"/>
    </font>
    <font>
      <b/>
      <sz val="9"/>
      <color theme="1"/>
      <name val="Calibri"/>
      <family val="2"/>
      <charset val="238"/>
      <scheme val="minor"/>
    </font>
    <font>
      <sz val="8"/>
      <color rgb="FF0000FF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</font>
    <font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9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7EB6"/>
        <bgColor indexed="64"/>
      </patternFill>
    </fill>
    <fill>
      <patternFill patternType="solid">
        <fgColor rgb="FFE6E6E6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/>
      <bottom style="thin">
        <color theme="8" tint="-0.249977111117893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thin">
        <color rgb="FF007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1">
    <xf numFmtId="0" fontId="0" fillId="0" borderId="0"/>
    <xf numFmtId="164" fontId="1" fillId="0" borderId="0" applyFont="0" applyFill="0" applyBorder="0" applyAlignment="0" applyProtection="0"/>
    <xf numFmtId="165" fontId="6" fillId="4" borderId="3">
      <alignment horizontal="right" vertical="center"/>
    </xf>
    <xf numFmtId="0" fontId="12" fillId="0" borderId="0"/>
    <xf numFmtId="167" fontId="1" fillId="0" borderId="0" applyFont="0" applyFill="0" applyBorder="0" applyProtection="0">
      <alignment vertical="top"/>
    </xf>
    <xf numFmtId="9" fontId="1" fillId="0" borderId="0" applyFont="0" applyFill="0" applyBorder="0" applyAlignment="0" applyProtection="0"/>
    <xf numFmtId="0" fontId="30" fillId="0" borderId="0"/>
    <xf numFmtId="43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167" fontId="1" fillId="0" borderId="0" applyFont="0" applyFill="0" applyBorder="0" applyProtection="0">
      <alignment vertical="top"/>
    </xf>
    <xf numFmtId="43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0" fontId="1" fillId="0" borderId="0"/>
    <xf numFmtId="167" fontId="1" fillId="0" borderId="0" applyFont="0" applyFill="0" applyBorder="0" applyProtection="0">
      <alignment vertical="top"/>
    </xf>
    <xf numFmtId="0" fontId="1" fillId="0" borderId="0"/>
    <xf numFmtId="0" fontId="40" fillId="0" borderId="0"/>
    <xf numFmtId="43" fontId="1" fillId="0" borderId="0" applyFont="0" applyFill="0" applyBorder="0" applyAlignment="0" applyProtection="0"/>
    <xf numFmtId="0" fontId="40" fillId="0" borderId="0"/>
    <xf numFmtId="0" fontId="1" fillId="0" borderId="0"/>
    <xf numFmtId="0" fontId="12" fillId="0" borderId="0"/>
    <xf numFmtId="0" fontId="1" fillId="0" borderId="0"/>
    <xf numFmtId="174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</cellStyleXfs>
  <cellXfs count="310">
    <xf numFmtId="0" fontId="0" fillId="0" borderId="0" xfId="0"/>
    <xf numFmtId="0" fontId="3" fillId="2" borderId="0" xfId="0" applyFont="1" applyFill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 indent="1"/>
    </xf>
    <xf numFmtId="0" fontId="4" fillId="3" borderId="0" xfId="0" quotePrefix="1" applyFont="1" applyFill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166" fontId="7" fillId="0" borderId="4" xfId="2" applyNumberFormat="1" applyFont="1" applyFill="1" applyBorder="1">
      <alignment horizontal="right" vertical="center"/>
    </xf>
    <xf numFmtId="0" fontId="8" fillId="0" borderId="0" xfId="0" applyFont="1"/>
    <xf numFmtId="166" fontId="9" fillId="0" borderId="3" xfId="2" applyNumberFormat="1" applyFont="1" applyFill="1">
      <alignment horizontal="right" vertical="center"/>
    </xf>
    <xf numFmtId="0" fontId="10" fillId="0" borderId="0" xfId="0" applyFont="1"/>
    <xf numFmtId="166" fontId="9" fillId="0" borderId="3" xfId="2" quotePrefix="1" applyNumberFormat="1" applyFont="1" applyFill="1">
      <alignment horizontal="right" vertical="center"/>
    </xf>
    <xf numFmtId="166" fontId="9" fillId="0" borderId="5" xfId="2" applyNumberFormat="1" applyFont="1" applyFill="1" applyBorder="1">
      <alignment horizontal="right" vertical="center"/>
    </xf>
    <xf numFmtId="166" fontId="7" fillId="0" borderId="6" xfId="2" applyNumberFormat="1" applyFont="1" applyFill="1" applyBorder="1">
      <alignment horizontal="right" vertical="center"/>
    </xf>
    <xf numFmtId="166" fontId="7" fillId="0" borderId="8" xfId="2" applyNumberFormat="1" applyFont="1" applyFill="1" applyBorder="1">
      <alignment horizontal="right" vertical="center"/>
    </xf>
    <xf numFmtId="0" fontId="5" fillId="0" borderId="0" xfId="0" applyFont="1"/>
    <xf numFmtId="166" fontId="7" fillId="0" borderId="3" xfId="2" applyNumberFormat="1" applyFont="1" applyFill="1">
      <alignment horizontal="right" vertical="center"/>
    </xf>
    <xf numFmtId="0" fontId="8" fillId="0" borderId="0" xfId="0" applyFont="1" applyAlignment="1">
      <alignment horizontal="right" indent="1"/>
    </xf>
    <xf numFmtId="166" fontId="8" fillId="0" borderId="0" xfId="0" applyNumberFormat="1" applyFont="1" applyAlignment="1">
      <alignment horizontal="right" indent="1"/>
    </xf>
    <xf numFmtId="0" fontId="11" fillId="0" borderId="0" xfId="0" applyFont="1"/>
    <xf numFmtId="0" fontId="8" fillId="0" borderId="1" xfId="0" applyFont="1" applyBorder="1"/>
    <xf numFmtId="167" fontId="13" fillId="0" borderId="1" xfId="4" applyFont="1" applyBorder="1" applyAlignment="1">
      <alignment horizontal="left" indent="1"/>
    </xf>
    <xf numFmtId="167" fontId="13" fillId="0" borderId="1" xfId="4" applyFont="1" applyBorder="1" applyAlignment="1">
      <alignment horizontal="right"/>
    </xf>
    <xf numFmtId="167" fontId="14" fillId="0" borderId="0" xfId="4" applyFont="1" applyAlignment="1">
      <alignment horizontal="left" indent="1"/>
    </xf>
    <xf numFmtId="167" fontId="14" fillId="0" borderId="0" xfId="4" applyFont="1" applyAlignment="1">
      <alignment horizontal="right"/>
    </xf>
    <xf numFmtId="167" fontId="1" fillId="0" borderId="0" xfId="4" applyAlignment="1">
      <alignment horizontal="left" indent="1"/>
    </xf>
    <xf numFmtId="167" fontId="1" fillId="0" borderId="0" xfId="4" applyAlignment="1">
      <alignment horizontal="right"/>
    </xf>
    <xf numFmtId="168" fontId="15" fillId="0" borderId="2" xfId="4" applyNumberFormat="1" applyFont="1" applyBorder="1">
      <alignment vertical="top"/>
    </xf>
    <xf numFmtId="167" fontId="2" fillId="0" borderId="2" xfId="4" applyFont="1" applyBorder="1" applyAlignment="1">
      <alignment horizontal="right" vertical="top"/>
    </xf>
    <xf numFmtId="167" fontId="2" fillId="0" borderId="2" xfId="4" applyFont="1" applyBorder="1">
      <alignment vertical="top"/>
    </xf>
    <xf numFmtId="167" fontId="0" fillId="0" borderId="0" xfId="0" applyNumberFormat="1"/>
    <xf numFmtId="167" fontId="1" fillId="0" borderId="9" xfId="4" applyBorder="1" applyAlignment="1">
      <alignment horizontal="left" indent="1"/>
    </xf>
    <xf numFmtId="167" fontId="1" fillId="0" borderId="1" xfId="4" applyBorder="1" applyAlignment="1">
      <alignment horizontal="left" indent="1"/>
    </xf>
    <xf numFmtId="167" fontId="1" fillId="0" borderId="1" xfId="4" applyBorder="1" applyAlignment="1">
      <alignment horizontal="right"/>
    </xf>
    <xf numFmtId="167" fontId="2" fillId="0" borderId="10" xfId="4" applyFont="1" applyBorder="1">
      <alignment vertical="top"/>
    </xf>
    <xf numFmtId="167" fontId="2" fillId="0" borderId="10" xfId="4" applyFont="1" applyBorder="1" applyAlignment="1">
      <alignment horizontal="right" vertical="top"/>
    </xf>
    <xf numFmtId="0" fontId="12" fillId="0" borderId="0" xfId="3" applyAlignment="1">
      <alignment vertical="top"/>
    </xf>
    <xf numFmtId="167" fontId="16" fillId="0" borderId="2" xfId="4" applyFont="1" applyBorder="1">
      <alignment vertical="top"/>
    </xf>
    <xf numFmtId="167" fontId="0" fillId="0" borderId="0" xfId="4" applyFont="1" applyAlignment="1">
      <alignment horizontal="left" indent="1"/>
    </xf>
    <xf numFmtId="3" fontId="8" fillId="0" borderId="1" xfId="0" applyNumberFormat="1" applyFont="1" applyBorder="1" applyAlignment="1">
      <alignment horizontal="right" indent="1"/>
    </xf>
    <xf numFmtId="165" fontId="7" fillId="5" borderId="3" xfId="2" applyFont="1" applyFill="1">
      <alignment horizontal="right" vertical="center"/>
    </xf>
    <xf numFmtId="165" fontId="7" fillId="5" borderId="4" xfId="2" applyFont="1" applyFill="1" applyBorder="1">
      <alignment horizontal="right" vertical="center"/>
    </xf>
    <xf numFmtId="165" fontId="8" fillId="0" borderId="0" xfId="0" applyNumberFormat="1" applyFont="1" applyAlignment="1">
      <alignment horizontal="right" indent="1"/>
    </xf>
    <xf numFmtId="3" fontId="0" fillId="0" borderId="0" xfId="0" applyNumberFormat="1"/>
    <xf numFmtId="0" fontId="23" fillId="8" borderId="0" xfId="0" applyFont="1" applyFill="1"/>
    <xf numFmtId="1" fontId="8" fillId="0" borderId="0" xfId="0" applyNumberFormat="1" applyFont="1" applyAlignment="1">
      <alignment horizontal="right" indent="1"/>
    </xf>
    <xf numFmtId="0" fontId="4" fillId="3" borderId="13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right" vertical="center" indent="1"/>
    </xf>
    <xf numFmtId="0" fontId="4" fillId="3" borderId="14" xfId="0" applyFont="1" applyFill="1" applyBorder="1" applyAlignment="1">
      <alignment horizontal="left" vertical="center"/>
    </xf>
    <xf numFmtId="0" fontId="8" fillId="0" borderId="14" xfId="0" applyFont="1" applyBorder="1"/>
    <xf numFmtId="0" fontId="11" fillId="0" borderId="14" xfId="0" applyFont="1" applyBorder="1"/>
    <xf numFmtId="0" fontId="5" fillId="0" borderId="15" xfId="0" applyFont="1" applyBorder="1"/>
    <xf numFmtId="3" fontId="8" fillId="0" borderId="0" xfId="0" applyNumberFormat="1" applyFont="1" applyAlignment="1">
      <alignment horizontal="right" indent="1"/>
    </xf>
    <xf numFmtId="0" fontId="8" fillId="0" borderId="15" xfId="0" applyFont="1" applyBorder="1"/>
    <xf numFmtId="0" fontId="8" fillId="0" borderId="2" xfId="0" applyFont="1" applyBorder="1"/>
    <xf numFmtId="166" fontId="24" fillId="0" borderId="6" xfId="2" applyNumberFormat="1" applyFont="1" applyFill="1" applyBorder="1">
      <alignment horizontal="right" vertical="center"/>
    </xf>
    <xf numFmtId="0" fontId="11" fillId="0" borderId="15" xfId="0" applyFont="1" applyBorder="1"/>
    <xf numFmtId="0" fontId="11" fillId="0" borderId="2" xfId="0" applyFont="1" applyBorder="1"/>
    <xf numFmtId="0" fontId="5" fillId="0" borderId="16" xfId="0" applyFont="1" applyBorder="1"/>
    <xf numFmtId="0" fontId="5" fillId="0" borderId="12" xfId="0" applyFont="1" applyBorder="1"/>
    <xf numFmtId="166" fontId="7" fillId="0" borderId="17" xfId="2" applyNumberFormat="1" applyFont="1" applyFill="1" applyBorder="1">
      <alignment horizontal="right" vertical="center"/>
    </xf>
    <xf numFmtId="14" fontId="21" fillId="7" borderId="11" xfId="0" applyNumberFormat="1" applyFont="1" applyFill="1" applyBorder="1" applyAlignment="1">
      <alignment horizontal="center" vertical="center" wrapText="1"/>
    </xf>
    <xf numFmtId="14" fontId="21" fillId="6" borderId="11" xfId="0" applyNumberFormat="1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 vertical="center" wrapText="1"/>
    </xf>
    <xf numFmtId="0" fontId="25" fillId="6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wrapText="1"/>
    </xf>
    <xf numFmtId="0" fontId="20" fillId="0" borderId="9" xfId="0" applyFont="1" applyBorder="1" applyAlignment="1">
      <alignment horizontal="left" wrapText="1" indent="1"/>
    </xf>
    <xf numFmtId="3" fontId="0" fillId="9" borderId="9" xfId="0" applyNumberFormat="1" applyFill="1" applyBorder="1"/>
    <xf numFmtId="3" fontId="0" fillId="0" borderId="9" xfId="0" applyNumberFormat="1" applyBorder="1"/>
    <xf numFmtId="9" fontId="0" fillId="9" borderId="9" xfId="0" applyNumberFormat="1" applyFill="1" applyBorder="1"/>
    <xf numFmtId="0" fontId="20" fillId="0" borderId="0" xfId="0" applyFont="1" applyAlignment="1">
      <alignment horizontal="left" wrapText="1" indent="1"/>
    </xf>
    <xf numFmtId="3" fontId="0" fillId="9" borderId="0" xfId="0" applyNumberFormat="1" applyFill="1"/>
    <xf numFmtId="9" fontId="0" fillId="9" borderId="0" xfId="0" applyNumberFormat="1" applyFill="1"/>
    <xf numFmtId="0" fontId="21" fillId="6" borderId="7" xfId="0" applyFont="1" applyFill="1" applyBorder="1" applyAlignment="1">
      <alignment vertical="center"/>
    </xf>
    <xf numFmtId="3" fontId="21" fillId="9" borderId="7" xfId="0" applyNumberFormat="1" applyFont="1" applyFill="1" applyBorder="1" applyAlignment="1">
      <alignment horizontal="right" vertical="center" wrapText="1"/>
    </xf>
    <xf numFmtId="3" fontId="21" fillId="6" borderId="7" xfId="0" applyNumberFormat="1" applyFont="1" applyFill="1" applyBorder="1" applyAlignment="1">
      <alignment horizontal="right" vertical="center" wrapText="1"/>
    </xf>
    <xf numFmtId="9" fontId="2" fillId="9" borderId="7" xfId="0" applyNumberFormat="1" applyFont="1" applyFill="1" applyBorder="1" applyAlignment="1">
      <alignment vertical="center"/>
    </xf>
    <xf numFmtId="0" fontId="2" fillId="0" borderId="0" xfId="0" applyFont="1"/>
    <xf numFmtId="171" fontId="0" fillId="0" borderId="0" xfId="5" applyNumberFormat="1" applyFont="1"/>
    <xf numFmtId="167" fontId="29" fillId="0" borderId="0" xfId="4" applyFont="1" applyAlignment="1">
      <alignment horizontal="left" indent="2"/>
    </xf>
    <xf numFmtId="167" fontId="2" fillId="0" borderId="2" xfId="4" applyNumberFormat="1" applyFont="1" applyBorder="1" applyAlignment="1">
      <alignment horizontal="right" vertical="top"/>
    </xf>
    <xf numFmtId="167" fontId="2" fillId="0" borderId="2" xfId="4" applyFont="1" applyBorder="1" applyAlignment="1">
      <alignment horizontal="right" vertical="top"/>
    </xf>
    <xf numFmtId="167" fontId="2" fillId="0" borderId="10" xfId="4" applyFont="1" applyBorder="1" applyAlignment="1">
      <alignment horizontal="right" vertical="top"/>
    </xf>
    <xf numFmtId="0" fontId="0" fillId="0" borderId="0" xfId="0" applyAlignment="1">
      <alignment horizontal="center"/>
    </xf>
    <xf numFmtId="168" fontId="15" fillId="0" borderId="2" xfId="4" applyNumberFormat="1" applyFont="1" applyBorder="1" applyAlignment="1">
      <alignment vertical="top" wrapText="1"/>
    </xf>
    <xf numFmtId="167" fontId="2" fillId="0" borderId="2" xfId="4" applyFont="1" applyBorder="1" applyAlignment="1">
      <alignment vertical="top" wrapText="1"/>
    </xf>
    <xf numFmtId="167" fontId="2" fillId="0" borderId="10" xfId="4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3" borderId="0" xfId="0" applyFont="1" applyFill="1" applyAlignment="1">
      <alignment horizontal="right" vertical="top" wrapText="1"/>
    </xf>
    <xf numFmtId="167" fontId="13" fillId="0" borderId="1" xfId="4" applyFont="1" applyBorder="1" applyAlignment="1">
      <alignment horizontal="left" vertical="top" wrapText="1"/>
    </xf>
    <xf numFmtId="167" fontId="14" fillId="0" borderId="0" xfId="4" applyFont="1" applyAlignment="1">
      <alignment horizontal="left" vertical="top" wrapText="1"/>
    </xf>
    <xf numFmtId="167" fontId="1" fillId="0" borderId="0" xfId="4" applyAlignment="1">
      <alignment horizontal="left" vertical="top" wrapText="1"/>
    </xf>
    <xf numFmtId="167" fontId="1" fillId="0" borderId="9" xfId="4" applyBorder="1" applyAlignment="1">
      <alignment horizontal="left" vertical="top" wrapText="1"/>
    </xf>
    <xf numFmtId="167" fontId="1" fillId="0" borderId="1" xfId="4" applyBorder="1" applyAlignment="1">
      <alignment horizontal="left" vertical="top" wrapText="1"/>
    </xf>
    <xf numFmtId="0" fontId="17" fillId="6" borderId="0" xfId="0" applyFont="1" applyFill="1" applyAlignment="1">
      <alignment vertical="top" wrapText="1"/>
    </xf>
    <xf numFmtId="0" fontId="18" fillId="6" borderId="7" xfId="0" applyFont="1" applyFill="1" applyBorder="1" applyAlignment="1">
      <alignment vertical="top" wrapText="1"/>
    </xf>
    <xf numFmtId="0" fontId="18" fillId="6" borderId="10" xfId="0" applyFont="1" applyFill="1" applyBorder="1" applyAlignment="1">
      <alignment vertical="top" wrapText="1"/>
    </xf>
    <xf numFmtId="0" fontId="18" fillId="6" borderId="0" xfId="0" applyFont="1" applyFill="1" applyAlignment="1">
      <alignment vertical="top" wrapText="1"/>
    </xf>
    <xf numFmtId="0" fontId="4" fillId="3" borderId="0" xfId="0" applyFont="1" applyFill="1" applyAlignment="1">
      <alignment horizontal="right" vertical="top"/>
    </xf>
    <xf numFmtId="167" fontId="13" fillId="0" borderId="1" xfId="4" applyFont="1" applyBorder="1" applyAlignment="1">
      <alignment horizontal="right" vertical="top"/>
    </xf>
    <xf numFmtId="167" fontId="14" fillId="0" borderId="0" xfId="4" applyFont="1" applyAlignment="1">
      <alignment horizontal="right" vertical="top"/>
    </xf>
    <xf numFmtId="167" fontId="1" fillId="0" borderId="0" xfId="4" applyAlignment="1">
      <alignment horizontal="right" vertical="top"/>
    </xf>
    <xf numFmtId="167" fontId="1" fillId="0" borderId="1" xfId="4" applyBorder="1" applyAlignment="1">
      <alignment horizontal="right" vertical="top"/>
    </xf>
    <xf numFmtId="0" fontId="0" fillId="0" borderId="0" xfId="0" applyAlignment="1">
      <alignment vertical="top"/>
    </xf>
    <xf numFmtId="167" fontId="13" fillId="9" borderId="1" xfId="4" applyFont="1" applyFill="1" applyBorder="1" applyAlignment="1">
      <alignment horizontal="right" vertical="top"/>
    </xf>
    <xf numFmtId="167" fontId="14" fillId="9" borderId="0" xfId="4" applyFont="1" applyFill="1" applyAlignment="1">
      <alignment horizontal="right" vertical="top"/>
    </xf>
    <xf numFmtId="167" fontId="1" fillId="9" borderId="0" xfId="4" applyFill="1" applyAlignment="1">
      <alignment horizontal="right" vertical="top"/>
    </xf>
    <xf numFmtId="167" fontId="2" fillId="9" borderId="2" xfId="4" applyFont="1" applyFill="1" applyBorder="1" applyAlignment="1">
      <alignment horizontal="right" vertical="top"/>
    </xf>
    <xf numFmtId="167" fontId="1" fillId="9" borderId="1" xfId="4" applyFill="1" applyBorder="1" applyAlignment="1">
      <alignment horizontal="right" vertical="top"/>
    </xf>
    <xf numFmtId="167" fontId="2" fillId="9" borderId="10" xfId="4" applyFont="1" applyFill="1" applyBorder="1" applyAlignment="1">
      <alignment horizontal="right" vertical="top"/>
    </xf>
    <xf numFmtId="0" fontId="0" fillId="9" borderId="0" xfId="0" applyFill="1" applyAlignment="1">
      <alignment vertical="top"/>
    </xf>
    <xf numFmtId="170" fontId="19" fillId="9" borderId="7" xfId="1" applyNumberFormat="1" applyFont="1" applyFill="1" applyBorder="1" applyAlignment="1">
      <alignment horizontal="right" vertical="top" wrapText="1"/>
    </xf>
    <xf numFmtId="170" fontId="20" fillId="9" borderId="0" xfId="1" applyNumberFormat="1" applyFont="1" applyFill="1" applyAlignment="1">
      <alignment horizontal="right" vertical="top" wrapText="1"/>
    </xf>
    <xf numFmtId="170" fontId="17" fillId="9" borderId="0" xfId="1" applyNumberFormat="1" applyFont="1" applyFill="1" applyAlignment="1">
      <alignment horizontal="right" vertical="top" wrapText="1"/>
    </xf>
    <xf numFmtId="170" fontId="21" fillId="9" borderId="7" xfId="1" applyNumberFormat="1" applyFont="1" applyFill="1" applyBorder="1" applyAlignment="1">
      <alignment horizontal="right" vertical="top" wrapText="1"/>
    </xf>
    <xf numFmtId="170" fontId="22" fillId="9" borderId="0" xfId="1" applyNumberFormat="1" applyFont="1" applyFill="1" applyAlignment="1">
      <alignment horizontal="right" vertical="top" wrapText="1"/>
    </xf>
    <xf numFmtId="170" fontId="21" fillId="9" borderId="10" xfId="1" applyNumberFormat="1" applyFont="1" applyFill="1" applyBorder="1" applyAlignment="1">
      <alignment horizontal="right" vertical="top" wrapText="1"/>
    </xf>
    <xf numFmtId="170" fontId="21" fillId="9" borderId="0" xfId="1" applyNumberFormat="1" applyFont="1" applyFill="1" applyAlignment="1">
      <alignment horizontal="right" vertical="top" wrapText="1"/>
    </xf>
    <xf numFmtId="170" fontId="18" fillId="9" borderId="0" xfId="1" applyNumberFormat="1" applyFont="1" applyFill="1" applyAlignment="1">
      <alignment horizontal="right" vertical="top" wrapText="1"/>
    </xf>
    <xf numFmtId="0" fontId="0" fillId="0" borderId="0" xfId="0" applyFill="1" applyAlignment="1">
      <alignment vertical="top"/>
    </xf>
    <xf numFmtId="170" fontId="19" fillId="0" borderId="7" xfId="1" applyNumberFormat="1" applyFont="1" applyFill="1" applyBorder="1" applyAlignment="1">
      <alignment horizontal="right" vertical="top" wrapText="1"/>
    </xf>
    <xf numFmtId="170" fontId="20" fillId="0" borderId="0" xfId="1" applyNumberFormat="1" applyFont="1" applyFill="1" applyAlignment="1">
      <alignment horizontal="right" vertical="top" wrapText="1"/>
    </xf>
    <xf numFmtId="170" fontId="17" fillId="0" borderId="0" xfId="1" applyNumberFormat="1" applyFont="1" applyFill="1" applyAlignment="1">
      <alignment horizontal="right" vertical="top" wrapText="1"/>
    </xf>
    <xf numFmtId="170" fontId="21" fillId="0" borderId="7" xfId="1" applyNumberFormat="1" applyFont="1" applyFill="1" applyBorder="1" applyAlignment="1">
      <alignment horizontal="right" vertical="top" wrapText="1"/>
    </xf>
    <xf numFmtId="170" fontId="22" fillId="0" borderId="0" xfId="1" applyNumberFormat="1" applyFont="1" applyFill="1" applyAlignment="1">
      <alignment horizontal="right" vertical="top" wrapText="1"/>
    </xf>
    <xf numFmtId="170" fontId="21" fillId="0" borderId="10" xfId="1" applyNumberFormat="1" applyFont="1" applyFill="1" applyBorder="1" applyAlignment="1">
      <alignment horizontal="right" vertical="top" wrapText="1"/>
    </xf>
    <xf numFmtId="170" fontId="21" fillId="0" borderId="0" xfId="1" applyNumberFormat="1" applyFont="1" applyFill="1" applyAlignment="1">
      <alignment horizontal="right" vertical="top" wrapText="1"/>
    </xf>
    <xf numFmtId="170" fontId="18" fillId="0" borderId="0" xfId="1" applyNumberFormat="1" applyFont="1" applyFill="1" applyAlignment="1">
      <alignment horizontal="right" vertical="top" wrapText="1"/>
    </xf>
    <xf numFmtId="167" fontId="13" fillId="9" borderId="1" xfId="4" applyFont="1" applyFill="1" applyBorder="1" applyAlignment="1">
      <alignment horizontal="right"/>
    </xf>
    <xf numFmtId="167" fontId="14" fillId="9" borderId="0" xfId="4" applyFont="1" applyFill="1" applyAlignment="1">
      <alignment horizontal="right"/>
    </xf>
    <xf numFmtId="167" fontId="1" fillId="9" borderId="0" xfId="4" applyFill="1" applyAlignment="1">
      <alignment horizontal="right"/>
    </xf>
    <xf numFmtId="167" fontId="1" fillId="9" borderId="1" xfId="4" applyFill="1" applyBorder="1" applyAlignment="1">
      <alignment horizontal="right"/>
    </xf>
    <xf numFmtId="0" fontId="4" fillId="3" borderId="18" xfId="0" applyFont="1" applyFill="1" applyBorder="1" applyAlignment="1">
      <alignment horizontal="right" vertical="top"/>
    </xf>
    <xf numFmtId="0" fontId="4" fillId="3" borderId="18" xfId="0" applyFont="1" applyFill="1" applyBorder="1" applyAlignment="1">
      <alignment horizontal="right" vertical="center" indent="1"/>
    </xf>
    <xf numFmtId="14" fontId="4" fillId="3" borderId="0" xfId="0" applyNumberFormat="1" applyFont="1" applyFill="1" applyAlignment="1">
      <alignment horizontal="right" vertical="top"/>
    </xf>
    <xf numFmtId="14" fontId="0" fillId="0" borderId="0" xfId="0" applyNumberFormat="1"/>
    <xf numFmtId="14" fontId="4" fillId="3" borderId="0" xfId="0" applyNumberFormat="1" applyFont="1" applyFill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0" fontId="0" fillId="0" borderId="0" xfId="1" applyNumberFormat="1" applyFont="1" applyAlignment="1">
      <alignment horizontal="right" vertical="top"/>
    </xf>
    <xf numFmtId="0" fontId="0" fillId="0" borderId="0" xfId="0" applyFill="1" applyAlignment="1">
      <alignment horizontal="right" vertical="top"/>
    </xf>
    <xf numFmtId="14" fontId="4" fillId="3" borderId="0" xfId="0" applyNumberFormat="1" applyFont="1" applyFill="1" applyAlignment="1">
      <alignment horizontal="center" vertical="top"/>
    </xf>
    <xf numFmtId="14" fontId="0" fillId="0" borderId="0" xfId="0" applyNumberFormat="1" applyAlignment="1">
      <alignment horizontal="center"/>
    </xf>
    <xf numFmtId="0" fontId="4" fillId="3" borderId="18" xfId="0" applyFont="1" applyFill="1" applyBorder="1" applyAlignment="1">
      <alignment horizontal="center" vertical="top"/>
    </xf>
    <xf numFmtId="167" fontId="2" fillId="0" borderId="0" xfId="4" applyFont="1" applyBorder="1" applyAlignment="1">
      <alignment vertical="top" wrapText="1"/>
    </xf>
    <xf numFmtId="167" fontId="2" fillId="9" borderId="0" xfId="4" applyFont="1" applyFill="1" applyBorder="1" applyAlignment="1">
      <alignment horizontal="right" vertical="top"/>
    </xf>
    <xf numFmtId="167" fontId="2" fillId="0" borderId="0" xfId="4" applyFont="1" applyBorder="1" applyAlignment="1">
      <alignment horizontal="right" vertical="top"/>
    </xf>
    <xf numFmtId="167" fontId="13" fillId="0" borderId="0" xfId="4" applyFont="1" applyFill="1" applyBorder="1" applyAlignment="1">
      <alignment horizontal="right" vertical="top"/>
    </xf>
    <xf numFmtId="0" fontId="0" fillId="0" borderId="0" xfId="0" applyFill="1"/>
    <xf numFmtId="167" fontId="2" fillId="0" borderId="0" xfId="4" applyFont="1" applyFill="1" applyBorder="1" applyAlignment="1">
      <alignment horizontal="right" vertical="top"/>
    </xf>
    <xf numFmtId="0" fontId="32" fillId="3" borderId="0" xfId="0" applyFont="1" applyFill="1" applyAlignment="1">
      <alignment horizontal="left" vertical="center"/>
    </xf>
    <xf numFmtId="0" fontId="32" fillId="3" borderId="0" xfId="0" applyFont="1" applyFill="1" applyAlignment="1">
      <alignment horizontal="left" vertical="center" indent="1"/>
    </xf>
    <xf numFmtId="0" fontId="2" fillId="0" borderId="1" xfId="0" applyFont="1" applyBorder="1"/>
    <xf numFmtId="0" fontId="2" fillId="0" borderId="2" xfId="0" applyFont="1" applyBorder="1"/>
    <xf numFmtId="0" fontId="0" fillId="0" borderId="0" xfId="0" applyFont="1"/>
    <xf numFmtId="0" fontId="14" fillId="0" borderId="0" xfId="0" applyFont="1"/>
    <xf numFmtId="0" fontId="2" fillId="0" borderId="7" xfId="0" applyFont="1" applyBorder="1"/>
    <xf numFmtId="167" fontId="13" fillId="9" borderId="1" xfId="4" applyFont="1" applyFill="1" applyBorder="1" applyAlignment="1">
      <alignment vertical="top"/>
    </xf>
    <xf numFmtId="167" fontId="14" fillId="9" borderId="1" xfId="4" applyFont="1" applyFill="1" applyBorder="1" applyAlignment="1">
      <alignment vertical="top"/>
    </xf>
    <xf numFmtId="167" fontId="13" fillId="9" borderId="0" xfId="4" applyFont="1" applyFill="1" applyBorder="1" applyAlignment="1">
      <alignment vertical="top"/>
    </xf>
    <xf numFmtId="167" fontId="14" fillId="9" borderId="9" xfId="4" applyFont="1" applyFill="1" applyBorder="1" applyAlignment="1">
      <alignment vertical="top"/>
    </xf>
    <xf numFmtId="167" fontId="13" fillId="0" borderId="1" xfId="4" applyFont="1" applyFill="1" applyBorder="1" applyAlignment="1">
      <alignment vertical="top"/>
    </xf>
    <xf numFmtId="167" fontId="14" fillId="0" borderId="0" xfId="4" applyFont="1" applyFill="1" applyAlignment="1">
      <alignment vertical="top" wrapText="1"/>
    </xf>
    <xf numFmtId="167" fontId="1" fillId="0" borderId="0" xfId="4" applyFill="1" applyAlignment="1">
      <alignment vertical="top" wrapText="1"/>
    </xf>
    <xf numFmtId="167" fontId="1" fillId="0" borderId="1" xfId="4" applyFill="1" applyBorder="1" applyAlignment="1">
      <alignment vertical="top" wrapText="1"/>
    </xf>
    <xf numFmtId="167" fontId="14" fillId="0" borderId="1" xfId="4" applyFont="1" applyFill="1" applyBorder="1" applyAlignment="1">
      <alignment vertical="top"/>
    </xf>
    <xf numFmtId="167" fontId="13" fillId="0" borderId="0" xfId="4" applyFont="1" applyFill="1" applyBorder="1" applyAlignment="1">
      <alignment vertical="top"/>
    </xf>
    <xf numFmtId="167" fontId="14" fillId="0" borderId="9" xfId="4" applyFont="1" applyFill="1" applyBorder="1" applyAlignment="1">
      <alignment vertical="top"/>
    </xf>
    <xf numFmtId="167" fontId="2" fillId="0" borderId="10" xfId="4" applyFont="1" applyFill="1" applyBorder="1" applyAlignment="1">
      <alignment vertical="top" wrapText="1"/>
    </xf>
    <xf numFmtId="167" fontId="1" fillId="0" borderId="0" xfId="4" applyFill="1" applyAlignment="1">
      <alignment horizontal="right" indent="1"/>
    </xf>
    <xf numFmtId="0" fontId="12" fillId="0" borderId="0" xfId="3" applyFill="1" applyAlignment="1">
      <alignment vertical="top"/>
    </xf>
    <xf numFmtId="167" fontId="14" fillId="9" borderId="0" xfId="4" applyFont="1" applyFill="1" applyAlignment="1">
      <alignment vertical="top" wrapText="1"/>
    </xf>
    <xf numFmtId="167" fontId="1" fillId="9" borderId="0" xfId="4" applyFill="1" applyAlignment="1">
      <alignment vertical="top" wrapText="1"/>
    </xf>
    <xf numFmtId="167" fontId="1" fillId="9" borderId="1" xfId="4" applyFill="1" applyBorder="1" applyAlignment="1">
      <alignment vertical="top" wrapText="1"/>
    </xf>
    <xf numFmtId="167" fontId="2" fillId="9" borderId="10" xfId="4" applyFont="1" applyFill="1" applyBorder="1" applyAlignment="1">
      <alignment vertical="top" wrapText="1"/>
    </xf>
    <xf numFmtId="167" fontId="1" fillId="9" borderId="0" xfId="4" applyFill="1" applyAlignment="1">
      <alignment horizontal="right" indent="1"/>
    </xf>
    <xf numFmtId="0" fontId="12" fillId="9" borderId="0" xfId="3" applyFill="1" applyAlignment="1">
      <alignment vertical="top"/>
    </xf>
    <xf numFmtId="167" fontId="13" fillId="0" borderId="1" xfId="4" applyFont="1" applyFill="1" applyBorder="1" applyAlignment="1">
      <alignment horizontal="right" vertical="top"/>
    </xf>
    <xf numFmtId="167" fontId="14" fillId="0" borderId="0" xfId="4" applyFont="1" applyFill="1" applyAlignment="1">
      <alignment horizontal="right" vertical="top"/>
    </xf>
    <xf numFmtId="167" fontId="1" fillId="0" borderId="0" xfId="4" applyFill="1" applyAlignment="1">
      <alignment horizontal="right" vertical="top"/>
    </xf>
    <xf numFmtId="167" fontId="2" fillId="0" borderId="2" xfId="4" applyFont="1" applyFill="1" applyBorder="1" applyAlignment="1">
      <alignment horizontal="right" vertical="top"/>
    </xf>
    <xf numFmtId="167" fontId="1" fillId="0" borderId="1" xfId="4" applyFill="1" applyBorder="1" applyAlignment="1">
      <alignment horizontal="right" vertical="top"/>
    </xf>
    <xf numFmtId="167" fontId="2" fillId="0" borderId="10" xfId="4" applyFont="1" applyFill="1" applyBorder="1" applyAlignment="1">
      <alignment horizontal="right" vertical="top"/>
    </xf>
    <xf numFmtId="0" fontId="29" fillId="0" borderId="0" xfId="0" applyFont="1" applyAlignment="1">
      <alignment vertical="top"/>
    </xf>
    <xf numFmtId="0" fontId="29" fillId="0" borderId="0" xfId="0" applyFont="1" applyFill="1" applyAlignment="1">
      <alignment vertical="top"/>
    </xf>
    <xf numFmtId="0" fontId="29" fillId="0" borderId="0" xfId="0" applyFont="1"/>
    <xf numFmtId="169" fontId="14" fillId="10" borderId="0" xfId="4" applyNumberFormat="1" applyFont="1" applyFill="1" applyAlignment="1">
      <alignment vertical="top" wrapText="1"/>
    </xf>
    <xf numFmtId="167" fontId="1" fillId="0" borderId="0" xfId="4" applyFill="1" applyBorder="1" applyAlignment="1">
      <alignment horizontal="right" vertical="top"/>
    </xf>
    <xf numFmtId="14" fontId="21" fillId="9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0" fillId="0" borderId="19" xfId="0" applyBorder="1"/>
    <xf numFmtId="3" fontId="0" fillId="9" borderId="19" xfId="0" applyNumberFormat="1" applyFill="1" applyBorder="1"/>
    <xf numFmtId="3" fontId="0" fillId="0" borderId="19" xfId="0" applyNumberFormat="1" applyBorder="1"/>
    <xf numFmtId="0" fontId="32" fillId="3" borderId="20" xfId="0" applyFont="1" applyFill="1" applyBorder="1" applyAlignment="1">
      <alignment horizontal="center" vertical="center"/>
    </xf>
    <xf numFmtId="14" fontId="32" fillId="3" borderId="20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0" fillId="0" borderId="19" xfId="0" applyNumberFormat="1" applyFill="1" applyBorder="1"/>
    <xf numFmtId="167" fontId="13" fillId="9" borderId="2" xfId="4" applyFont="1" applyFill="1" applyBorder="1" applyAlignment="1">
      <alignment vertical="top"/>
    </xf>
    <xf numFmtId="167" fontId="13" fillId="0" borderId="2" xfId="4" applyFont="1" applyFill="1" applyBorder="1" applyAlignment="1">
      <alignment vertical="top"/>
    </xf>
    <xf numFmtId="3" fontId="29" fillId="0" borderId="0" xfId="0" applyNumberFormat="1" applyFont="1" applyAlignment="1">
      <alignment horizontal="right"/>
    </xf>
    <xf numFmtId="3" fontId="32" fillId="3" borderId="0" xfId="0" applyNumberFormat="1" applyFont="1" applyFill="1" applyAlignment="1">
      <alignment horizontal="left" vertical="center"/>
    </xf>
    <xf numFmtId="164" fontId="0" fillId="0" borderId="0" xfId="0" applyNumberFormat="1"/>
    <xf numFmtId="0" fontId="18" fillId="6" borderId="23" xfId="0" applyFont="1" applyFill="1" applyBorder="1" applyAlignment="1">
      <alignment vertical="top" wrapText="1"/>
    </xf>
    <xf numFmtId="170" fontId="21" fillId="9" borderId="23" xfId="1" applyNumberFormat="1" applyFont="1" applyFill="1" applyBorder="1" applyAlignment="1">
      <alignment horizontal="right" vertical="top" wrapText="1"/>
    </xf>
    <xf numFmtId="170" fontId="21" fillId="0" borderId="23" xfId="1" applyNumberFormat="1" applyFont="1" applyFill="1" applyBorder="1" applyAlignment="1">
      <alignment horizontal="right" vertical="top" wrapText="1"/>
    </xf>
    <xf numFmtId="0" fontId="33" fillId="11" borderId="24" xfId="0" applyFont="1" applyFill="1" applyBorder="1" applyAlignment="1">
      <alignment horizontal="left" vertical="center" indent="1"/>
    </xf>
    <xf numFmtId="0" fontId="34" fillId="6" borderId="24" xfId="0" applyFont="1" applyFill="1" applyBorder="1" applyAlignment="1">
      <alignment vertical="top" wrapText="1"/>
    </xf>
    <xf numFmtId="170" fontId="33" fillId="9" borderId="24" xfId="1" applyNumberFormat="1" applyFont="1" applyFill="1" applyBorder="1" applyAlignment="1">
      <alignment horizontal="right" vertical="top" wrapText="1"/>
    </xf>
    <xf numFmtId="170" fontId="33" fillId="0" borderId="24" xfId="1" applyNumberFormat="1" applyFont="1" applyFill="1" applyBorder="1" applyAlignment="1">
      <alignment horizontal="right" vertical="top" wrapText="1"/>
    </xf>
    <xf numFmtId="170" fontId="19" fillId="9" borderId="23" xfId="1" applyNumberFormat="1" applyFont="1" applyFill="1" applyBorder="1" applyAlignment="1">
      <alignment horizontal="right" vertical="top" wrapText="1"/>
    </xf>
    <xf numFmtId="170" fontId="19" fillId="0" borderId="23" xfId="1" applyNumberFormat="1" applyFont="1" applyFill="1" applyBorder="1" applyAlignment="1">
      <alignment horizontal="right" vertical="top" wrapText="1"/>
    </xf>
    <xf numFmtId="0" fontId="33" fillId="11" borderId="25" xfId="0" applyFont="1" applyFill="1" applyBorder="1" applyAlignment="1">
      <alignment horizontal="left" vertical="center" indent="1"/>
    </xf>
    <xf numFmtId="0" fontId="34" fillId="6" borderId="25" xfId="0" applyFont="1" applyFill="1" applyBorder="1" applyAlignment="1">
      <alignment vertical="top" wrapText="1"/>
    </xf>
    <xf numFmtId="170" fontId="35" fillId="9" borderId="25" xfId="1" applyNumberFormat="1" applyFont="1" applyFill="1" applyBorder="1" applyAlignment="1">
      <alignment horizontal="right" vertical="top" wrapText="1"/>
    </xf>
    <xf numFmtId="170" fontId="35" fillId="0" borderId="25" xfId="1" applyNumberFormat="1" applyFont="1" applyFill="1" applyBorder="1" applyAlignment="1">
      <alignment horizontal="right" vertical="top" wrapText="1"/>
    </xf>
    <xf numFmtId="170" fontId="35" fillId="0" borderId="9" xfId="1" applyNumberFormat="1" applyFont="1" applyFill="1" applyBorder="1" applyAlignment="1">
      <alignment horizontal="right" vertical="top" wrapText="1"/>
    </xf>
    <xf numFmtId="0" fontId="36" fillId="6" borderId="0" xfId="0" applyFont="1" applyFill="1" applyAlignment="1">
      <alignment horizontal="justify" vertical="center"/>
    </xf>
    <xf numFmtId="0" fontId="0" fillId="0" borderId="0" xfId="0" applyFont="1" applyFill="1" applyBorder="1"/>
    <xf numFmtId="0" fontId="4" fillId="3" borderId="26" xfId="0" applyFont="1" applyFill="1" applyBorder="1" applyAlignment="1">
      <alignment horizontal="right" vertical="center" indent="1"/>
    </xf>
    <xf numFmtId="0" fontId="4" fillId="3" borderId="7" xfId="0" applyFont="1" applyFill="1" applyBorder="1" applyAlignment="1">
      <alignment horizontal="right" vertical="center" indent="1"/>
    </xf>
    <xf numFmtId="0" fontId="4" fillId="3" borderId="22" xfId="0" applyFont="1" applyFill="1" applyBorder="1" applyAlignment="1">
      <alignment horizontal="right" vertical="center" indent="1"/>
    </xf>
    <xf numFmtId="0" fontId="4" fillId="3" borderId="27" xfId="0" applyFont="1" applyFill="1" applyBorder="1" applyAlignment="1">
      <alignment horizontal="left" vertical="center" indent="1"/>
    </xf>
    <xf numFmtId="0" fontId="4" fillId="3" borderId="27" xfId="0" applyFont="1" applyFill="1" applyBorder="1" applyAlignment="1">
      <alignment horizontal="right" vertical="center" indent="1"/>
    </xf>
    <xf numFmtId="0" fontId="4" fillId="3" borderId="28" xfId="0" applyFont="1" applyFill="1" applyBorder="1" applyAlignment="1">
      <alignment horizontal="right" vertical="center" indent="1"/>
    </xf>
    <xf numFmtId="0" fontId="37" fillId="0" borderId="29" xfId="0" applyFont="1" applyBorder="1" applyAlignment="1">
      <alignment horizontal="left" vertical="center" wrapText="1"/>
    </xf>
    <xf numFmtId="3" fontId="0" fillId="0" borderId="30" xfId="0" applyNumberFormat="1" applyBorder="1"/>
    <xf numFmtId="3" fontId="0" fillId="0" borderId="31" xfId="0" applyNumberFormat="1" applyBorder="1"/>
    <xf numFmtId="3" fontId="0" fillId="0" borderId="32" xfId="0" applyNumberFormat="1" applyBorder="1"/>
    <xf numFmtId="0" fontId="37" fillId="0" borderId="33" xfId="0" applyFont="1" applyBorder="1" applyAlignment="1">
      <alignment horizontal="left" vertical="center" wrapText="1"/>
    </xf>
    <xf numFmtId="3" fontId="0" fillId="0" borderId="34" xfId="0" applyNumberFormat="1" applyBorder="1"/>
    <xf numFmtId="3" fontId="0" fillId="0" borderId="35" xfId="0" applyNumberFormat="1" applyBorder="1"/>
    <xf numFmtId="3" fontId="0" fillId="0" borderId="36" xfId="0" applyNumberFormat="1" applyBorder="1"/>
    <xf numFmtId="0" fontId="38" fillId="0" borderId="37" xfId="0" applyFont="1" applyBorder="1" applyAlignment="1">
      <alignment horizontal="left" vertical="center" wrapText="1"/>
    </xf>
    <xf numFmtId="3" fontId="2" fillId="0" borderId="38" xfId="0" applyNumberFormat="1" applyFont="1" applyBorder="1"/>
    <xf numFmtId="0" fontId="37" fillId="0" borderId="37" xfId="0" applyFont="1" applyBorder="1" applyAlignment="1">
      <alignment horizontal="left" vertical="center" wrapText="1"/>
    </xf>
    <xf numFmtId="3" fontId="0" fillId="0" borderId="39" xfId="0" applyNumberFormat="1" applyBorder="1"/>
    <xf numFmtId="3" fontId="0" fillId="0" borderId="40" xfId="0" applyNumberFormat="1" applyBorder="1"/>
    <xf numFmtId="3" fontId="0" fillId="0" borderId="41" xfId="0" applyNumberFormat="1" applyBorder="1"/>
    <xf numFmtId="0" fontId="38" fillId="0" borderId="26" xfId="0" applyFont="1" applyBorder="1" applyAlignment="1">
      <alignment horizontal="left" vertical="center" wrapText="1"/>
    </xf>
    <xf numFmtId="3" fontId="2" fillId="0" borderId="42" xfId="0" applyNumberFormat="1" applyFont="1" applyBorder="1"/>
    <xf numFmtId="3" fontId="2" fillId="0" borderId="43" xfId="0" applyNumberFormat="1" applyFont="1" applyBorder="1"/>
    <xf numFmtId="3" fontId="2" fillId="0" borderId="44" xfId="0" applyNumberFormat="1" applyFont="1" applyBorder="1"/>
    <xf numFmtId="0" fontId="4" fillId="3" borderId="26" xfId="0" applyFont="1" applyFill="1" applyBorder="1" applyAlignment="1">
      <alignment horizontal="left" vertical="center" indent="1"/>
    </xf>
    <xf numFmtId="0" fontId="37" fillId="0" borderId="45" xfId="0" applyFont="1" applyBorder="1" applyAlignment="1">
      <alignment horizontal="left" vertical="center" wrapText="1"/>
    </xf>
    <xf numFmtId="3" fontId="0" fillId="0" borderId="38" xfId="0" applyNumberFormat="1" applyBorder="1"/>
    <xf numFmtId="3" fontId="0" fillId="0" borderId="46" xfId="0" applyNumberFormat="1" applyBorder="1"/>
    <xf numFmtId="3" fontId="0" fillId="0" borderId="47" xfId="0" applyNumberFormat="1" applyBorder="1"/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3" fontId="2" fillId="0" borderId="0" xfId="0" applyNumberFormat="1" applyFont="1"/>
    <xf numFmtId="0" fontId="37" fillId="0" borderId="48" xfId="0" applyFont="1" applyBorder="1" applyAlignment="1">
      <alignment horizontal="left" vertical="center" wrapText="1"/>
    </xf>
    <xf numFmtId="0" fontId="37" fillId="0" borderId="36" xfId="0" applyFont="1" applyBorder="1" applyAlignment="1">
      <alignment horizontal="left" vertical="center" wrapText="1"/>
    </xf>
    <xf numFmtId="0" fontId="37" fillId="0" borderId="49" xfId="0" applyFont="1" applyBorder="1" applyAlignment="1">
      <alignment horizontal="left" vertical="center" wrapText="1"/>
    </xf>
    <xf numFmtId="172" fontId="0" fillId="0" borderId="30" xfId="0" applyNumberFormat="1" applyBorder="1"/>
    <xf numFmtId="172" fontId="0" fillId="0" borderId="31" xfId="0" applyNumberFormat="1" applyBorder="1"/>
    <xf numFmtId="172" fontId="0" fillId="0" borderId="32" xfId="0" applyNumberFormat="1" applyBorder="1"/>
    <xf numFmtId="172" fontId="0" fillId="0" borderId="34" xfId="0" applyNumberFormat="1" applyBorder="1"/>
    <xf numFmtId="172" fontId="0" fillId="0" borderId="35" xfId="0" applyNumberFormat="1" applyBorder="1"/>
    <xf numFmtId="172" fontId="0" fillId="0" borderId="36" xfId="0" applyNumberFormat="1" applyBorder="1"/>
    <xf numFmtId="0" fontId="37" fillId="0" borderId="51" xfId="0" applyFont="1" applyBorder="1" applyAlignment="1">
      <alignment horizontal="left" vertical="center" wrapText="1"/>
    </xf>
    <xf numFmtId="4" fontId="0" fillId="0" borderId="40" xfId="0" applyNumberFormat="1" applyBorder="1"/>
    <xf numFmtId="172" fontId="2" fillId="0" borderId="44" xfId="0" applyNumberFormat="1" applyFont="1" applyBorder="1"/>
    <xf numFmtId="172" fontId="0" fillId="0" borderId="0" xfId="0" applyNumberFormat="1"/>
    <xf numFmtId="0" fontId="4" fillId="3" borderId="26" xfId="0" applyFont="1" applyFill="1" applyBorder="1" applyAlignment="1">
      <alignment horizontal="left" vertical="center" wrapText="1" indent="1"/>
    </xf>
    <xf numFmtId="0" fontId="4" fillId="3" borderId="44" xfId="0" applyFont="1" applyFill="1" applyBorder="1" applyAlignment="1">
      <alignment horizontal="right" vertical="center" indent="1"/>
    </xf>
    <xf numFmtId="172" fontId="0" fillId="0" borderId="50" xfId="0" applyNumberFormat="1" applyBorder="1"/>
    <xf numFmtId="3" fontId="2" fillId="9" borderId="0" xfId="0" applyNumberFormat="1" applyFont="1" applyFill="1"/>
    <xf numFmtId="3" fontId="0" fillId="11" borderId="0" xfId="0" applyNumberFormat="1" applyFill="1"/>
    <xf numFmtId="3" fontId="2" fillId="11" borderId="0" xfId="0" applyNumberFormat="1" applyFont="1" applyFill="1"/>
    <xf numFmtId="3" fontId="0" fillId="11" borderId="19" xfId="0" applyNumberFormat="1" applyFill="1" applyBorder="1"/>
    <xf numFmtId="3" fontId="0" fillId="0" borderId="52" xfId="0" applyNumberFormat="1" applyBorder="1"/>
    <xf numFmtId="3" fontId="0" fillId="0" borderId="53" xfId="0" applyNumberFormat="1" applyBorder="1"/>
    <xf numFmtId="3" fontId="0" fillId="0" borderId="54" xfId="0" applyNumberFormat="1" applyBorder="1"/>
    <xf numFmtId="167" fontId="1" fillId="11" borderId="1" xfId="4" applyFill="1" applyBorder="1" applyAlignment="1">
      <alignment vertical="top" wrapText="1"/>
    </xf>
    <xf numFmtId="167" fontId="1" fillId="0" borderId="0" xfId="4" applyFont="1" applyBorder="1" applyAlignment="1">
      <alignment horizontal="right" vertical="top"/>
    </xf>
    <xf numFmtId="167" fontId="14" fillId="11" borderId="0" xfId="4" applyFont="1" applyFill="1" applyAlignment="1">
      <alignment vertical="top" wrapText="1"/>
    </xf>
    <xf numFmtId="0" fontId="0" fillId="11" borderId="0" xfId="0" applyFill="1" applyAlignment="1">
      <alignment vertical="top" wrapText="1"/>
    </xf>
    <xf numFmtId="0" fontId="39" fillId="0" borderId="0" xfId="0" applyFont="1" applyAlignment="1">
      <alignment vertical="top" wrapText="1"/>
    </xf>
    <xf numFmtId="167" fontId="14" fillId="9" borderId="0" xfId="4" applyFont="1" applyFill="1" applyBorder="1" applyAlignment="1">
      <alignment vertical="top"/>
    </xf>
    <xf numFmtId="167" fontId="14" fillId="0" borderId="0" xfId="4" applyFont="1" applyFill="1" applyBorder="1" applyAlignment="1">
      <alignment vertical="top"/>
    </xf>
    <xf numFmtId="0" fontId="22" fillId="6" borderId="0" xfId="6" applyFont="1" applyFill="1" applyAlignment="1">
      <alignment horizontal="left" vertical="center" indent="1"/>
    </xf>
    <xf numFmtId="167" fontId="1" fillId="0" borderId="0" xfId="4" applyAlignment="1">
      <alignment horizontal="left" vertical="top" wrapText="1" indent="1"/>
    </xf>
    <xf numFmtId="170" fontId="21" fillId="9" borderId="55" xfId="1" applyNumberFormat="1" applyFont="1" applyFill="1" applyBorder="1" applyAlignment="1">
      <alignment horizontal="right" vertical="top" wrapText="1"/>
    </xf>
    <xf numFmtId="170" fontId="21" fillId="0" borderId="55" xfId="1" applyNumberFormat="1" applyFont="1" applyFill="1" applyBorder="1" applyAlignment="1">
      <alignment horizontal="right" vertical="top" wrapText="1"/>
    </xf>
    <xf numFmtId="167" fontId="14" fillId="0" borderId="0" xfId="4" applyFont="1" applyFill="1" applyBorder="1" applyAlignment="1">
      <alignment horizontal="right" vertical="top"/>
    </xf>
    <xf numFmtId="0" fontId="37" fillId="0" borderId="56" xfId="0" applyFont="1" applyBorder="1" applyAlignment="1">
      <alignment horizontal="left" vertical="center" wrapText="1"/>
    </xf>
    <xf numFmtId="0" fontId="37" fillId="0" borderId="57" xfId="0" applyFont="1" applyBorder="1" applyAlignment="1">
      <alignment horizontal="left" vertical="center" wrapText="1"/>
    </xf>
    <xf numFmtId="0" fontId="37" fillId="0" borderId="58" xfId="0" applyFont="1" applyBorder="1" applyAlignment="1">
      <alignment horizontal="left" vertical="center" wrapText="1" indent="1"/>
    </xf>
    <xf numFmtId="173" fontId="20" fillId="0" borderId="46" xfId="1" applyNumberFormat="1" applyFont="1" applyBorder="1"/>
    <xf numFmtId="173" fontId="20" fillId="0" borderId="47" xfId="1" applyNumberFormat="1" applyFont="1" applyBorder="1"/>
    <xf numFmtId="172" fontId="2" fillId="0" borderId="43" xfId="0" applyNumberFormat="1" applyFont="1" applyBorder="1"/>
    <xf numFmtId="4" fontId="0" fillId="0" borderId="41" xfId="0" applyNumberFormat="1" applyBorder="1"/>
    <xf numFmtId="172" fontId="0" fillId="0" borderId="59" xfId="0" applyNumberFormat="1" applyBorder="1"/>
    <xf numFmtId="172" fontId="0" fillId="0" borderId="60" xfId="0" applyNumberFormat="1" applyBorder="1"/>
    <xf numFmtId="172" fontId="0" fillId="0" borderId="61" xfId="0" applyNumberFormat="1" applyBorder="1"/>
    <xf numFmtId="0" fontId="4" fillId="3" borderId="21" xfId="0" applyFont="1" applyFill="1" applyBorder="1" applyAlignment="1">
      <alignment horizontal="right" vertical="center" indent="1"/>
    </xf>
    <xf numFmtId="0" fontId="4" fillId="3" borderId="43" xfId="0" applyFont="1" applyFill="1" applyBorder="1" applyAlignment="1">
      <alignment horizontal="right" vertical="center" indent="1"/>
    </xf>
    <xf numFmtId="3" fontId="2" fillId="0" borderId="62" xfId="0" applyNumberFormat="1" applyFont="1" applyBorder="1"/>
    <xf numFmtId="172" fontId="0" fillId="0" borderId="63" xfId="0" applyNumberFormat="1" applyBorder="1"/>
    <xf numFmtId="172" fontId="0" fillId="0" borderId="48" xfId="0" applyNumberFormat="1" applyBorder="1"/>
    <xf numFmtId="172" fontId="0" fillId="0" borderId="64" xfId="0" applyNumberFormat="1" applyBorder="1"/>
    <xf numFmtId="173" fontId="0" fillId="0" borderId="54" xfId="1" applyNumberFormat="1" applyFont="1" applyBorder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22" xfId="0" applyFont="1" applyBorder="1" applyAlignment="1">
      <alignment horizontal="center"/>
    </xf>
  </cellXfs>
  <cellStyles count="51">
    <cellStyle name="Ezres" xfId="1" builtinId="3"/>
    <cellStyle name="Ezres 15 3 2" xfId="26" xr:uid="{A4832EDB-577A-4ABE-A7A7-199DDA02CE18}"/>
    <cellStyle name="Ezres 15 3 2 2" xfId="43" xr:uid="{8ADA8E50-5FFA-4B35-9544-521038FEAEF8}"/>
    <cellStyle name="Ezres 2" xfId="9" xr:uid="{FD3565E6-62E9-4DCC-B33E-77FABAE781B3}"/>
    <cellStyle name="Ezres 2 2" xfId="13" xr:uid="{80E2AA8C-7663-4E4F-BF16-50EDA40F3220}"/>
    <cellStyle name="Ezres 2 2 2" xfId="45" xr:uid="{480C13B7-F76C-4B32-9E6B-F82AA2AE8486}"/>
    <cellStyle name="Ezres 2 3" xfId="18" xr:uid="{F2FA567E-A1B0-4018-8AC6-7DB6953B166B}"/>
    <cellStyle name="Ezres 2 4" xfId="20" xr:uid="{24023BDA-49A9-46A1-9918-D88123D8236C}"/>
    <cellStyle name="Ezres 2 5" xfId="34" xr:uid="{EC4A9B1A-3478-4A22-B0A0-BFBE25888DFD}"/>
    <cellStyle name="Ezres 3" xfId="7" xr:uid="{24660899-AEF3-4DA4-9711-C8AD3F5F519F}"/>
    <cellStyle name="Ezres 3 2" xfId="50" xr:uid="{468E15E6-6004-4DA6-8A69-CE693CD0CD44}"/>
    <cellStyle name="Ezres 3 3" xfId="42" xr:uid="{973C6D82-64B3-4F09-88C8-F0128B0731A2}"/>
    <cellStyle name="Ezres 4" xfId="46" xr:uid="{430B1E83-9637-47E2-9D0C-108000F7F857}"/>
    <cellStyle name="Ezres 5" xfId="36" xr:uid="{EBCF22F5-8823-4963-9606-F3A34D5E7CCF}"/>
    <cellStyle name="Input value" xfId="2" xr:uid="{FB343DC4-ACBB-4D93-86DE-6FAFD75225FE}"/>
    <cellStyle name="Normál" xfId="0" builtinId="0"/>
    <cellStyle name="Normál 10 3" xfId="16" xr:uid="{468AD695-BEAB-4CEC-9EDC-747FB169A78A}"/>
    <cellStyle name="Normál 14" xfId="10" xr:uid="{1B521B5E-F517-4D5D-B9D6-2138AABD548F}"/>
    <cellStyle name="Normál 14 2" xfId="3" xr:uid="{3DD25A4D-16A1-4DE9-BF2B-D151B8DDAB9D}"/>
    <cellStyle name="Normál 14 3" xfId="21" xr:uid="{6396253A-6BA3-41DF-BB30-0AF342D84E86}"/>
    <cellStyle name="Normál 15 2" xfId="17" xr:uid="{F1FD0642-3A82-4AC1-9BCF-323AFCFE93AC}"/>
    <cellStyle name="Normál 15 3" xfId="4" xr:uid="{365C175D-DB80-4F17-A00E-269D374DF67A}"/>
    <cellStyle name="Normál 15 3 2" xfId="23" xr:uid="{C6B28441-3F38-4034-B302-02EC7A6F6B7F}"/>
    <cellStyle name="Normal 2" xfId="32" xr:uid="{18076431-87DA-4EF8-B8F5-09EAAD710ABB}"/>
    <cellStyle name="Normál 2" xfId="8" xr:uid="{6C8E908C-2AE7-4817-A6A9-C09991F78149}"/>
    <cellStyle name="Normal 2 2" xfId="39" xr:uid="{CE2620C6-74D3-4D84-9D56-98FA333ABE18}"/>
    <cellStyle name="Normál 2 2" xfId="12" xr:uid="{D5EC7E42-16C9-4108-830B-2F869403BBAF}"/>
    <cellStyle name="Normál 2 2 2" xfId="22" xr:uid="{4BD0056D-EC21-4A7B-BB5C-7634B7DF8988}"/>
    <cellStyle name="Normál 2 20" xfId="27" xr:uid="{95A98216-F7A4-4F14-B373-8E07AC90E83D}"/>
    <cellStyle name="Normál 2 3" xfId="19" xr:uid="{F5FD43CA-7D37-4641-8E0E-B633B17C9784}"/>
    <cellStyle name="Normál 2 4" xfId="29" xr:uid="{CB84DA8E-B11B-412D-B142-F5AE37354CFE}"/>
    <cellStyle name="Normál 2 5" xfId="25" xr:uid="{21599BB0-F0E6-4FA2-AA1B-569B9651C772}"/>
    <cellStyle name="Normál 3" xfId="6" xr:uid="{12553EAD-32A4-4294-90D1-51796BAD319D}"/>
    <cellStyle name="Normál 3 2" xfId="35" xr:uid="{9F159457-6649-417B-9EDE-8512514F3C8B}"/>
    <cellStyle name="Normál 3 3" xfId="44" xr:uid="{EE7CEC77-B6E3-4BC2-8D69-705BAB20105A}"/>
    <cellStyle name="Normál 3 4" xfId="33" xr:uid="{534CD698-500C-44BC-B452-29B5507E6121}"/>
    <cellStyle name="Normál 4" xfId="37" xr:uid="{FF7DCBCF-364B-46ED-BB34-5B161B05884A}"/>
    <cellStyle name="Normál 4 2" xfId="47" xr:uid="{6DA2F4B7-95E0-468C-8066-4820F24E31D7}"/>
    <cellStyle name="Normál 40 3" xfId="28" xr:uid="{C0EB0BD9-56B6-4201-879A-BEA5B0D00672}"/>
    <cellStyle name="Normál 40 4 2" xfId="24" xr:uid="{7CA1EB77-477B-4AA8-9344-062B16F47F44}"/>
    <cellStyle name="Normál 40 8" xfId="40" xr:uid="{2F25B95E-A4A8-43B4-BECB-A769CF1EC0DA}"/>
    <cellStyle name="Normál 5" xfId="38" xr:uid="{A095D5FA-D832-4426-B087-531DD9CFD581}"/>
    <cellStyle name="Normál 5 2" xfId="31" xr:uid="{A4063A9B-08D7-48CB-BD0E-AA90CD362B34}"/>
    <cellStyle name="Normál 5 3" xfId="48" xr:uid="{07E26083-8920-47AF-BE64-D6C27E5A5CCD}"/>
    <cellStyle name="Normál 6" xfId="41" xr:uid="{71F87771-B5B7-4F78-83FB-8F215E04210F}"/>
    <cellStyle name="Normál 6 2" xfId="49" xr:uid="{A3BA95F7-7974-419F-A669-491016DB0C65}"/>
    <cellStyle name="Normál 7" xfId="30" xr:uid="{C5B28606-5FF6-4CD0-B84B-D35DF9D909FA}"/>
    <cellStyle name="Pénznem 2" xfId="14" xr:uid="{E07994DD-3F68-4F5D-B864-B3D0E35FD954}"/>
    <cellStyle name="Százalék" xfId="5" builtinId="5"/>
    <cellStyle name="Százalék 2" xfId="11" xr:uid="{A7BB527B-B657-4796-8E43-471761A7C8DA}"/>
    <cellStyle name="Százalék 2 2" xfId="15" xr:uid="{EA5FB4BA-6E25-4B45-8640-F36421EB5FC5}"/>
  </cellStyles>
  <dxfs count="0"/>
  <tableStyles count="0" defaultTableStyle="TableStyleMedium2" defaultPivotStyle="PivotStyleLight16"/>
  <colors>
    <mruColors>
      <color rgb="FF5CD2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zsde/Tozsde/Jelent&#233;sek/2017_&#201;ves_jelent&#233;s/H&#225;tt&#233;r/Mancom_2017Q4_ppt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ntrolling/Kontrolling_hatter/Kontrolling/2017/&#201;ves%20jelent&#233;s,%20mancom/Szegmens%20bont&#225;s%20Gerg&#337;%20alapj&#225;n_2016FY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bev_EBITDA_szegmens"/>
      <sheetName val="Szegmens eredményesség EBITDA"/>
      <sheetName val="P&amp;L_Balance_konsz"/>
      <sheetName val="Szegmens eredményesség"/>
      <sheetName val="forgalmi ktg"/>
      <sheetName val="PL IFRS konsz"/>
    </sheetNames>
    <sheetDataSet>
      <sheetData sheetId="0">
        <row r="4">
          <cell r="I4">
            <v>9557.5337209999998</v>
          </cell>
          <cell r="J4">
            <v>8291.0161179999996</v>
          </cell>
        </row>
        <row r="5">
          <cell r="J5">
            <v>-6776.3561400000017</v>
          </cell>
        </row>
        <row r="6">
          <cell r="J6"/>
        </row>
        <row r="7">
          <cell r="J7">
            <v>-5.6425939999999999</v>
          </cell>
        </row>
        <row r="8">
          <cell r="J8">
            <v>87.663867999999994</v>
          </cell>
        </row>
        <row r="14">
          <cell r="I14">
            <v>837.77375500000005</v>
          </cell>
          <cell r="J14">
            <v>1015.4943420000001</v>
          </cell>
        </row>
        <row r="15">
          <cell r="J15">
            <v>-223.04337300000003</v>
          </cell>
        </row>
        <row r="16">
          <cell r="J16">
            <v>-103.30468400000001</v>
          </cell>
        </row>
        <row r="17">
          <cell r="J17">
            <v>23.519332000000002</v>
          </cell>
        </row>
        <row r="23">
          <cell r="I23">
            <v>6216.3799730000001</v>
          </cell>
          <cell r="J23">
            <v>3897.1971610000001</v>
          </cell>
        </row>
        <row r="24">
          <cell r="J24">
            <v>-1800.7743130000001</v>
          </cell>
        </row>
        <row r="25">
          <cell r="J25"/>
        </row>
        <row r="26">
          <cell r="J26">
            <v>-1261.30053</v>
          </cell>
        </row>
        <row r="27">
          <cell r="J27">
            <v>-71.540114000000003</v>
          </cell>
        </row>
        <row r="33">
          <cell r="I33">
            <v>5120.8255200000003</v>
          </cell>
          <cell r="J33">
            <v>3091.856252</v>
          </cell>
        </row>
        <row r="34">
          <cell r="J34">
            <v>-2895.5560010000004</v>
          </cell>
        </row>
        <row r="35">
          <cell r="J35"/>
        </row>
        <row r="36">
          <cell r="J36">
            <v>-49.740025000000003</v>
          </cell>
        </row>
        <row r="37">
          <cell r="J37">
            <v>-20.953004999999997</v>
          </cell>
        </row>
        <row r="43">
          <cell r="K43">
            <v>729.72434799999996</v>
          </cell>
        </row>
        <row r="44">
          <cell r="K44">
            <v>-772.36667299999988</v>
          </cell>
        </row>
        <row r="45">
          <cell r="K45">
            <v>-772.48173900000006</v>
          </cell>
        </row>
        <row r="46">
          <cell r="K46">
            <v>-69.801151000000019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Sheet1"/>
      <sheetName val="KÁT"/>
      <sheetName val="Egyéb"/>
      <sheetName val="Enkisker"/>
      <sheetName val="Eterm"/>
      <sheetName val="Enszolg"/>
    </sheetNames>
    <sheetDataSet>
      <sheetData sheetId="0"/>
      <sheetData sheetId="1">
        <row r="37">
          <cell r="R37">
            <v>-233844.00899999985</v>
          </cell>
          <cell r="S37">
            <v>1125849.6340000001</v>
          </cell>
          <cell r="T37">
            <v>0</v>
          </cell>
          <cell r="U37">
            <v>-1122240.041</v>
          </cell>
          <cell r="V37">
            <v>155466.23300000024</v>
          </cell>
          <cell r="W37">
            <v>0</v>
          </cell>
          <cell r="X37">
            <v>74743.251999999862</v>
          </cell>
        </row>
      </sheetData>
      <sheetData sheetId="2">
        <row r="35">
          <cell r="C35">
            <v>0</v>
          </cell>
        </row>
      </sheetData>
      <sheetData sheetId="3">
        <row r="35">
          <cell r="C35">
            <v>-641320.09100000001</v>
          </cell>
        </row>
      </sheetData>
      <sheetData sheetId="4">
        <row r="35">
          <cell r="C35">
            <v>-114094.0549999997</v>
          </cell>
        </row>
      </sheetData>
      <sheetData sheetId="5">
        <row r="35">
          <cell r="C35">
            <v>-1177708.7340000002</v>
          </cell>
        </row>
      </sheetData>
      <sheetData sheetId="6">
        <row r="35">
          <cell r="C35">
            <v>-1143946.6340000001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13601-63D7-4A4D-BAA7-CF2A8435FD79}">
  <dimension ref="A2:R175"/>
  <sheetViews>
    <sheetView showGridLines="0" tabSelected="1" topLeftCell="C67" workbookViewId="0">
      <selection activeCell="H74" sqref="H74"/>
    </sheetView>
  </sheetViews>
  <sheetFormatPr defaultRowHeight="14.4" outlineLevelRow="1" outlineLevelCol="1" x14ac:dyDescent="0.3"/>
  <cols>
    <col min="1" max="1" width="13.88671875" customWidth="1"/>
    <col min="2" max="2" width="46.33203125" bestFit="1" customWidth="1"/>
    <col min="3" max="3" width="33.5546875" customWidth="1"/>
    <col min="4" max="5" width="9.109375" hidden="1" customWidth="1" outlineLevel="1"/>
    <col min="6" max="6" width="9.6640625" hidden="1" customWidth="1" outlineLevel="1"/>
    <col min="7" max="7" width="9.88671875" bestFit="1" customWidth="1" collapsed="1"/>
    <col min="8" max="8" width="9.33203125" bestFit="1" customWidth="1"/>
    <col min="9" max="9" width="9.44140625" bestFit="1" customWidth="1"/>
    <col min="10" max="10" width="9.44140625" customWidth="1"/>
  </cols>
  <sheetData>
    <row r="2" spans="1:18" x14ac:dyDescent="0.3">
      <c r="D2" s="305" t="s">
        <v>95</v>
      </c>
      <c r="E2" s="305"/>
      <c r="F2" s="305"/>
      <c r="G2" s="305"/>
      <c r="H2" s="305"/>
      <c r="L2" s="305" t="s">
        <v>96</v>
      </c>
      <c r="M2" s="305"/>
      <c r="N2" s="305"/>
      <c r="O2" s="305"/>
      <c r="P2" s="305"/>
    </row>
    <row r="3" spans="1:18" x14ac:dyDescent="0.3">
      <c r="K3" t="s">
        <v>94</v>
      </c>
      <c r="L3">
        <v>296.91000000000003</v>
      </c>
      <c r="M3">
        <v>314.89</v>
      </c>
      <c r="N3">
        <v>313.12</v>
      </c>
      <c r="O3">
        <v>311.02</v>
      </c>
      <c r="P3">
        <v>310.14</v>
      </c>
      <c r="Q3">
        <v>321.51</v>
      </c>
      <c r="R3">
        <v>330.52</v>
      </c>
    </row>
    <row r="4" spans="1:18" x14ac:dyDescent="0.3">
      <c r="A4" s="1" t="s">
        <v>0</v>
      </c>
      <c r="B4" s="153"/>
      <c r="C4" s="153" t="s">
        <v>1</v>
      </c>
      <c r="D4" s="3">
        <v>2013</v>
      </c>
      <c r="E4" s="3">
        <v>2014</v>
      </c>
      <c r="F4" s="3">
        <v>2015</v>
      </c>
      <c r="G4" s="3">
        <v>2016</v>
      </c>
      <c r="H4" s="3">
        <v>2017</v>
      </c>
      <c r="I4" s="3">
        <v>2018</v>
      </c>
      <c r="J4" s="3">
        <v>2019</v>
      </c>
      <c r="L4" s="3">
        <v>2013</v>
      </c>
      <c r="M4" s="3">
        <v>2014</v>
      </c>
      <c r="N4" s="3">
        <v>2015</v>
      </c>
      <c r="O4" s="3">
        <v>2016</v>
      </c>
      <c r="P4" s="3">
        <v>2017</v>
      </c>
      <c r="Q4" s="3">
        <v>2018</v>
      </c>
      <c r="R4" s="3">
        <v>2019</v>
      </c>
    </row>
    <row r="5" spans="1:18" x14ac:dyDescent="0.3">
      <c r="B5" s="153" t="s">
        <v>93</v>
      </c>
      <c r="C5" s="154" t="s">
        <v>167</v>
      </c>
      <c r="D5" s="3" t="s">
        <v>3</v>
      </c>
      <c r="E5" s="3" t="s">
        <v>3</v>
      </c>
      <c r="F5" s="3" t="s">
        <v>3</v>
      </c>
      <c r="G5" s="3" t="s">
        <v>3</v>
      </c>
      <c r="H5" s="3" t="s">
        <v>3</v>
      </c>
      <c r="I5" s="3" t="s">
        <v>3</v>
      </c>
      <c r="J5" s="3" t="s">
        <v>3</v>
      </c>
      <c r="L5" s="3" t="s">
        <v>3</v>
      </c>
      <c r="M5" s="3" t="s">
        <v>3</v>
      </c>
      <c r="N5" s="3" t="s">
        <v>3</v>
      </c>
      <c r="O5" s="3" t="s">
        <v>3</v>
      </c>
      <c r="P5" s="3" t="s">
        <v>3</v>
      </c>
      <c r="Q5" s="3" t="s">
        <v>3</v>
      </c>
      <c r="R5" s="3" t="s">
        <v>3</v>
      </c>
    </row>
    <row r="6" spans="1:18" x14ac:dyDescent="0.3">
      <c r="B6" s="155" t="s">
        <v>4</v>
      </c>
      <c r="C6" s="156" t="s">
        <v>5</v>
      </c>
      <c r="D6" s="7">
        <f t="shared" ref="D6:G6" si="0">SUM(D7:D17)</f>
        <v>6458.8820000000005</v>
      </c>
      <c r="E6" s="7">
        <f t="shared" si="0"/>
        <v>6189.7640000000001</v>
      </c>
      <c r="F6" s="7">
        <f t="shared" si="0"/>
        <v>7909.6419999999998</v>
      </c>
      <c r="G6" s="7">
        <f t="shared" si="0"/>
        <v>6666.4420000000009</v>
      </c>
      <c r="H6" s="7">
        <f>SUM(H7:H17)</f>
        <v>7546.1149999999998</v>
      </c>
      <c r="I6" s="7">
        <f>SUM(I7:I17)</f>
        <v>13715.608</v>
      </c>
      <c r="J6" s="7">
        <f>SUM(J7:J17)</f>
        <v>24536.760999999999</v>
      </c>
      <c r="L6" s="7">
        <f t="shared" ref="L6" si="1">SUM(L7:L17)</f>
        <v>21753.669462126567</v>
      </c>
      <c r="M6" s="7">
        <f t="shared" ref="M6" si="2">SUM(M7:M17)</f>
        <v>19656.908761789829</v>
      </c>
      <c r="N6" s="7">
        <f t="shared" ref="N6" si="3">SUM(N7:N17)</f>
        <v>25260.737097598369</v>
      </c>
      <c r="O6" s="7">
        <f t="shared" ref="O6" si="4">SUM(O7:O17)</f>
        <v>21434.126422738089</v>
      </c>
      <c r="P6" s="7">
        <f>SUM(P7:P17)</f>
        <v>24331.31811439995</v>
      </c>
      <c r="Q6" s="7">
        <f t="shared" ref="Q6:R12" si="5">IFERROR(I6/Q$3*1000,0)</f>
        <v>42659.973251220807</v>
      </c>
      <c r="R6" s="7">
        <f t="shared" si="5"/>
        <v>74236.841946024448</v>
      </c>
    </row>
    <row r="7" spans="1:18" outlineLevel="1" x14ac:dyDescent="0.3">
      <c r="B7" s="157" t="s">
        <v>6</v>
      </c>
      <c r="C7" s="157" t="s">
        <v>7</v>
      </c>
      <c r="D7" s="9">
        <v>5858.9740000000002</v>
      </c>
      <c r="E7" s="9">
        <v>5669.8789999999999</v>
      </c>
      <c r="F7" s="9">
        <v>5482.37</v>
      </c>
      <c r="G7" s="9">
        <v>5012.8900000000003</v>
      </c>
      <c r="H7" s="9">
        <v>5850.5119999999997</v>
      </c>
      <c r="I7" s="9">
        <v>10715.944</v>
      </c>
      <c r="J7" s="9">
        <v>17711.706999999999</v>
      </c>
      <c r="L7" s="9">
        <f>IFERROR(D7/L$3*1000,0)</f>
        <v>19733.164932134314</v>
      </c>
      <c r="M7" s="9">
        <f>IFERROR(E7/M$3*1000,0)</f>
        <v>18005.903648893265</v>
      </c>
      <c r="N7" s="9">
        <f>IFERROR(F7/N$3*1000,0)</f>
        <v>17508.846448645887</v>
      </c>
      <c r="O7" s="9">
        <f>IFERROR(G7/O$3*1000,0)</f>
        <v>16117.580862967014</v>
      </c>
      <c r="P7" s="9">
        <f>IFERROR(H7/P$3*1000,0)</f>
        <v>18864.100083833109</v>
      </c>
      <c r="Q7" s="9">
        <f t="shared" si="5"/>
        <v>33330.048832073648</v>
      </c>
      <c r="R7" s="9">
        <f t="shared" si="5"/>
        <v>53587.398644560082</v>
      </c>
    </row>
    <row r="8" spans="1:18" outlineLevel="1" x14ac:dyDescent="0.3">
      <c r="B8" s="157" t="s">
        <v>8</v>
      </c>
      <c r="C8" s="157" t="s">
        <v>9</v>
      </c>
      <c r="D8" s="9">
        <v>11.135</v>
      </c>
      <c r="E8" s="9">
        <v>6.2030000000000003</v>
      </c>
      <c r="F8" s="9">
        <v>22.283999999999999</v>
      </c>
      <c r="G8" s="9">
        <v>31.811</v>
      </c>
      <c r="H8" s="9">
        <v>33.707999999999998</v>
      </c>
      <c r="I8" s="9">
        <v>38.107999999999997</v>
      </c>
      <c r="J8" s="9">
        <v>73.105000000000004</v>
      </c>
      <c r="L8" s="9">
        <f t="shared" ref="L8:L17" si="6">IFERROR(D8/L$3*1000,0)</f>
        <v>37.502947020982788</v>
      </c>
      <c r="M8" s="9">
        <f t="shared" ref="M8:P12" si="7">IFERROR(E8/M$3*1000,0)</f>
        <v>19.698942487852904</v>
      </c>
      <c r="N8" s="9">
        <f t="shared" si="7"/>
        <v>71.167603474706169</v>
      </c>
      <c r="O8" s="9">
        <f t="shared" si="7"/>
        <v>102.27959616744904</v>
      </c>
      <c r="P8" s="9">
        <f t="shared" si="7"/>
        <v>108.68639969046237</v>
      </c>
      <c r="Q8" s="9">
        <f t="shared" si="5"/>
        <v>118.52819507946876</v>
      </c>
      <c r="R8" s="9">
        <f t="shared" si="5"/>
        <v>221.18177417402882</v>
      </c>
    </row>
    <row r="9" spans="1:18" outlineLevel="1" x14ac:dyDescent="0.3">
      <c r="B9" s="157" t="s">
        <v>10</v>
      </c>
      <c r="C9" s="158" t="s">
        <v>11</v>
      </c>
      <c r="D9" s="9" t="s">
        <v>12</v>
      </c>
      <c r="E9" s="9" t="s">
        <v>12</v>
      </c>
      <c r="F9" s="9">
        <v>1298.8</v>
      </c>
      <c r="G9" s="9">
        <v>729.721</v>
      </c>
      <c r="H9" s="9">
        <v>482.09199999999998</v>
      </c>
      <c r="I9" s="9">
        <v>253.77199999999999</v>
      </c>
      <c r="J9" s="9">
        <v>104.376</v>
      </c>
      <c r="L9" s="9">
        <f t="shared" si="6"/>
        <v>0</v>
      </c>
      <c r="M9" s="9">
        <f t="shared" si="7"/>
        <v>0</v>
      </c>
      <c r="N9" s="9">
        <f t="shared" si="7"/>
        <v>4147.9305058763412</v>
      </c>
      <c r="O9" s="9">
        <f t="shared" si="7"/>
        <v>2346.2188926757126</v>
      </c>
      <c r="P9" s="9">
        <f t="shared" si="7"/>
        <v>1554.433481653447</v>
      </c>
      <c r="Q9" s="9">
        <f t="shared" si="5"/>
        <v>789.31292961338681</v>
      </c>
      <c r="R9" s="9">
        <f t="shared" si="5"/>
        <v>315.79329541328821</v>
      </c>
    </row>
    <row r="10" spans="1:18" outlineLevel="1" x14ac:dyDescent="0.3">
      <c r="B10" s="157" t="s">
        <v>13</v>
      </c>
      <c r="C10" s="157" t="s">
        <v>14</v>
      </c>
      <c r="D10" s="9">
        <v>36.223999999999997</v>
      </c>
      <c r="E10" s="9">
        <v>70.432000000000002</v>
      </c>
      <c r="F10" s="9">
        <v>182.43</v>
      </c>
      <c r="G10" s="9">
        <v>46.723999999999997</v>
      </c>
      <c r="H10" s="9">
        <v>54.981000000000002</v>
      </c>
      <c r="I10" s="9">
        <v>4.0190000000000001</v>
      </c>
      <c r="J10" s="9">
        <v>342.1</v>
      </c>
      <c r="L10" s="9">
        <f t="shared" si="6"/>
        <v>122.00330066350071</v>
      </c>
      <c r="M10" s="9">
        <f t="shared" si="7"/>
        <v>223.67175839181937</v>
      </c>
      <c r="N10" s="9">
        <f t="shared" si="7"/>
        <v>582.6200817577926</v>
      </c>
      <c r="O10" s="9">
        <f t="shared" si="7"/>
        <v>150.22828113947656</v>
      </c>
      <c r="P10" s="9">
        <f t="shared" si="7"/>
        <v>177.27800348229832</v>
      </c>
      <c r="Q10" s="9">
        <f t="shared" si="5"/>
        <v>12.500388790395323</v>
      </c>
      <c r="R10" s="9">
        <f t="shared" si="5"/>
        <v>1035.0357013191335</v>
      </c>
    </row>
    <row r="11" spans="1:18" outlineLevel="1" x14ac:dyDescent="0.3">
      <c r="B11" s="157" t="s">
        <v>15</v>
      </c>
      <c r="C11" s="157" t="s">
        <v>16</v>
      </c>
      <c r="D11" s="9">
        <v>362.28</v>
      </c>
      <c r="E11" s="9">
        <v>284.947</v>
      </c>
      <c r="F11" s="9">
        <v>247.43700000000001</v>
      </c>
      <c r="G11" s="9">
        <v>218.41800000000001</v>
      </c>
      <c r="H11" s="9">
        <v>420.62099999999998</v>
      </c>
      <c r="I11" s="9">
        <v>868.52599999999995</v>
      </c>
      <c r="J11" s="9">
        <v>3492.357</v>
      </c>
      <c r="L11" s="9">
        <f t="shared" si="6"/>
        <v>1220.1677275942202</v>
      </c>
      <c r="M11" s="9">
        <f t="shared" si="7"/>
        <v>904.90965098923436</v>
      </c>
      <c r="N11" s="9">
        <f t="shared" si="7"/>
        <v>790.23058252427188</v>
      </c>
      <c r="O11" s="9">
        <f t="shared" si="7"/>
        <v>702.26352003086618</v>
      </c>
      <c r="P11" s="9">
        <f t="shared" si="7"/>
        <v>1356.2294447668794</v>
      </c>
      <c r="Q11" s="9">
        <f t="shared" si="5"/>
        <v>2701.3965350999965</v>
      </c>
      <c r="R11" s="9">
        <f t="shared" si="5"/>
        <v>10566.250151276776</v>
      </c>
    </row>
    <row r="12" spans="1:18" outlineLevel="1" x14ac:dyDescent="0.3">
      <c r="B12" s="157" t="s">
        <v>17</v>
      </c>
      <c r="C12" s="157" t="s">
        <v>18</v>
      </c>
      <c r="D12" s="9" t="s">
        <v>12</v>
      </c>
      <c r="E12" s="9" t="s">
        <v>12</v>
      </c>
      <c r="F12" s="9">
        <v>495.53100000000001</v>
      </c>
      <c r="G12" s="9">
        <v>367.85399999999998</v>
      </c>
      <c r="H12" s="9">
        <v>283.64</v>
      </c>
      <c r="I12" s="9">
        <v>1476.732</v>
      </c>
      <c r="J12" s="9">
        <v>1407.741</v>
      </c>
      <c r="L12" s="9">
        <f t="shared" si="6"/>
        <v>0</v>
      </c>
      <c r="M12" s="9">
        <f t="shared" si="7"/>
        <v>0</v>
      </c>
      <c r="N12" s="9">
        <f t="shared" si="7"/>
        <v>1582.559402146142</v>
      </c>
      <c r="O12" s="9">
        <f t="shared" si="7"/>
        <v>1182.7342293100123</v>
      </c>
      <c r="P12" s="9">
        <f t="shared" si="7"/>
        <v>914.55471722447919</v>
      </c>
      <c r="Q12" s="9">
        <f t="shared" si="5"/>
        <v>4593.1137445180557</v>
      </c>
      <c r="R12" s="9">
        <f t="shared" si="5"/>
        <v>4259.1703981604742</v>
      </c>
    </row>
    <row r="13" spans="1:18" outlineLevel="1" x14ac:dyDescent="0.3">
      <c r="B13" s="97" t="s">
        <v>285</v>
      </c>
      <c r="C13" s="97" t="s">
        <v>309</v>
      </c>
      <c r="D13" s="9"/>
      <c r="E13" s="9"/>
      <c r="F13" s="9"/>
      <c r="G13" s="9"/>
      <c r="H13" s="9"/>
      <c r="I13" s="9"/>
      <c r="J13" s="9">
        <v>924.76800000000003</v>
      </c>
      <c r="L13" s="9"/>
      <c r="M13" s="9"/>
      <c r="N13" s="9"/>
      <c r="O13" s="9"/>
      <c r="P13" s="9"/>
      <c r="Q13" s="9"/>
      <c r="R13" s="9"/>
    </row>
    <row r="14" spans="1:18" outlineLevel="1" x14ac:dyDescent="0.3">
      <c r="B14" s="157" t="s">
        <v>19</v>
      </c>
      <c r="C14" s="157" t="s">
        <v>19</v>
      </c>
      <c r="D14" s="9">
        <v>75.838999999999999</v>
      </c>
      <c r="E14" s="9">
        <v>75.838999999999999</v>
      </c>
      <c r="F14" s="9">
        <v>75.838999999999999</v>
      </c>
      <c r="G14" s="9">
        <v>0</v>
      </c>
      <c r="H14" s="11" t="s">
        <v>20</v>
      </c>
      <c r="I14" s="11">
        <v>0</v>
      </c>
      <c r="J14" s="11">
        <v>0</v>
      </c>
      <c r="L14" s="9">
        <f t="shared" si="6"/>
        <v>255.42757064430293</v>
      </c>
      <c r="M14" s="9">
        <f t="shared" ref="M14:R17" si="8">IFERROR(E14/M$3*1000,0)</f>
        <v>240.84283400552576</v>
      </c>
      <c r="N14" s="9">
        <f t="shared" si="8"/>
        <v>242.20426673479815</v>
      </c>
      <c r="O14" s="9">
        <f t="shared" si="8"/>
        <v>0</v>
      </c>
      <c r="P14" s="9">
        <f t="shared" si="8"/>
        <v>0</v>
      </c>
      <c r="Q14" s="9">
        <f t="shared" si="8"/>
        <v>0</v>
      </c>
      <c r="R14" s="9">
        <f t="shared" si="8"/>
        <v>0</v>
      </c>
    </row>
    <row r="15" spans="1:18" outlineLevel="1" x14ac:dyDescent="0.3">
      <c r="B15" s="157" t="s">
        <v>21</v>
      </c>
      <c r="C15" s="157" t="s">
        <v>22</v>
      </c>
      <c r="D15" s="9">
        <v>114.43</v>
      </c>
      <c r="E15" s="9">
        <v>82.463999999999999</v>
      </c>
      <c r="F15" s="9">
        <v>99.850999999999999</v>
      </c>
      <c r="G15" s="9">
        <v>72.89</v>
      </c>
      <c r="H15" s="9">
        <v>234.875</v>
      </c>
      <c r="I15" s="9">
        <v>139.756</v>
      </c>
      <c r="J15" s="9">
        <v>286.85599999999999</v>
      </c>
      <c r="L15" s="9">
        <f t="shared" si="6"/>
        <v>385.40298406924654</v>
      </c>
      <c r="M15" s="9">
        <f t="shared" si="8"/>
        <v>261.88192702213468</v>
      </c>
      <c r="N15" s="9">
        <f t="shared" si="8"/>
        <v>318.89052120592743</v>
      </c>
      <c r="O15" s="9">
        <f t="shared" si="8"/>
        <v>234.35791910488075</v>
      </c>
      <c r="P15" s="9">
        <f t="shared" si="8"/>
        <v>757.31927516605413</v>
      </c>
      <c r="Q15" s="9">
        <f t="shared" si="8"/>
        <v>434.68632390905412</v>
      </c>
      <c r="R15" s="9">
        <f t="shared" si="8"/>
        <v>867.89301706402034</v>
      </c>
    </row>
    <row r="16" spans="1:18" outlineLevel="1" x14ac:dyDescent="0.3">
      <c r="B16" s="157" t="s">
        <v>23</v>
      </c>
      <c r="C16" s="157" t="s">
        <v>24</v>
      </c>
      <c r="D16" s="9">
        <v>0</v>
      </c>
      <c r="E16" s="9" t="s">
        <v>12</v>
      </c>
      <c r="F16" s="9">
        <v>5.0999999999999996</v>
      </c>
      <c r="G16" s="9">
        <v>186.03399999999999</v>
      </c>
      <c r="H16" s="9">
        <v>185.58600000000001</v>
      </c>
      <c r="I16" s="9">
        <v>218.65100000000001</v>
      </c>
      <c r="J16" s="9">
        <v>193.65100000000001</v>
      </c>
      <c r="L16" s="9">
        <f t="shared" si="6"/>
        <v>0</v>
      </c>
      <c r="M16" s="9">
        <f t="shared" si="8"/>
        <v>0</v>
      </c>
      <c r="N16" s="9">
        <f t="shared" si="8"/>
        <v>16.28768523249872</v>
      </c>
      <c r="O16" s="9">
        <f t="shared" si="8"/>
        <v>598.14159861102178</v>
      </c>
      <c r="P16" s="9">
        <f t="shared" si="8"/>
        <v>598.39427355387897</v>
      </c>
      <c r="Q16" s="9">
        <f t="shared" si="8"/>
        <v>680.07526982053446</v>
      </c>
      <c r="R16" s="9">
        <f t="shared" si="8"/>
        <v>585.89797894227286</v>
      </c>
    </row>
    <row r="17" spans="2:18" outlineLevel="1" x14ac:dyDescent="0.3">
      <c r="B17" s="157" t="s">
        <v>25</v>
      </c>
      <c r="C17" s="157" t="s">
        <v>305</v>
      </c>
      <c r="D17" s="9">
        <v>0</v>
      </c>
      <c r="E17" s="9">
        <v>0</v>
      </c>
      <c r="F17" s="9">
        <v>0</v>
      </c>
      <c r="G17" s="9">
        <v>0.1</v>
      </c>
      <c r="H17" s="9">
        <v>0.1</v>
      </c>
      <c r="I17" s="9">
        <v>0.1</v>
      </c>
      <c r="J17" s="9">
        <v>0.1</v>
      </c>
      <c r="L17" s="9">
        <f t="shared" si="6"/>
        <v>0</v>
      </c>
      <c r="M17" s="9">
        <f t="shared" si="8"/>
        <v>0</v>
      </c>
      <c r="N17" s="9">
        <f t="shared" si="8"/>
        <v>0</v>
      </c>
      <c r="O17" s="9">
        <f t="shared" si="8"/>
        <v>0.32152273165712819</v>
      </c>
      <c r="P17" s="9">
        <f t="shared" si="8"/>
        <v>0.32243502934158769</v>
      </c>
      <c r="Q17" s="9">
        <f t="shared" si="8"/>
        <v>0.3110323162576592</v>
      </c>
      <c r="R17" s="9">
        <f t="shared" si="8"/>
        <v>0.30255355197870026</v>
      </c>
    </row>
    <row r="18" spans="2:18" outlineLevel="1" collapsed="1" x14ac:dyDescent="0.3">
      <c r="B18" s="157"/>
      <c r="C18" s="157"/>
      <c r="D18" s="12"/>
      <c r="E18" s="12"/>
      <c r="F18" s="12"/>
      <c r="G18" s="12"/>
      <c r="H18" s="12"/>
      <c r="I18" s="12"/>
      <c r="J18" s="12"/>
      <c r="L18" s="12"/>
      <c r="M18" s="12"/>
      <c r="N18" s="12"/>
      <c r="O18" s="12"/>
      <c r="P18" s="12"/>
      <c r="Q18" s="12"/>
      <c r="R18" s="12"/>
    </row>
    <row r="19" spans="2:18" x14ac:dyDescent="0.3">
      <c r="B19" s="156" t="s">
        <v>26</v>
      </c>
      <c r="C19" s="156" t="s">
        <v>27</v>
      </c>
      <c r="D19" s="13">
        <f t="shared" ref="D19:J19" si="9">SUM(D20:D28)</f>
        <v>2077.7199999999998</v>
      </c>
      <c r="E19" s="13">
        <f t="shared" si="9"/>
        <v>3598.5430000000001</v>
      </c>
      <c r="F19" s="13">
        <f t="shared" si="9"/>
        <v>6029.5740000000005</v>
      </c>
      <c r="G19" s="13">
        <f t="shared" si="9"/>
        <v>9481.3909999999996</v>
      </c>
      <c r="H19" s="13">
        <f t="shared" si="9"/>
        <v>9106.0049999999992</v>
      </c>
      <c r="I19" s="13">
        <f t="shared" si="9"/>
        <v>9143.49</v>
      </c>
      <c r="J19" s="13">
        <f t="shared" si="9"/>
        <v>13037.745999999999</v>
      </c>
      <c r="L19" s="13">
        <f>SUM(L20:L28)</f>
        <v>6997.8107844127844</v>
      </c>
      <c r="M19" s="13">
        <f>SUM(M20:M28)</f>
        <v>11427.936739813904</v>
      </c>
      <c r="N19" s="13">
        <f>SUM(N20:N28)</f>
        <v>19256.432038834948</v>
      </c>
      <c r="O19" s="13">
        <f>SUM(O20:O28)</f>
        <v>30484.827342293102</v>
      </c>
      <c r="P19" s="13">
        <f>SUM(P20:P28)</f>
        <v>29360.949893596444</v>
      </c>
      <c r="Q19" s="13">
        <f t="shared" ref="Q19:R26" si="10">IFERROR(I19/Q$3*1000,0)</f>
        <v>28439.208733787444</v>
      </c>
      <c r="R19" s="13">
        <f t="shared" si="10"/>
        <v>39446.163620960913</v>
      </c>
    </row>
    <row r="20" spans="2:18" outlineLevel="1" x14ac:dyDescent="0.3">
      <c r="B20" s="157" t="s">
        <v>28</v>
      </c>
      <c r="C20" s="157" t="s">
        <v>29</v>
      </c>
      <c r="D20" s="9">
        <v>41.406999999999996</v>
      </c>
      <c r="E20" s="9">
        <v>43.021999999999998</v>
      </c>
      <c r="F20" s="9">
        <v>98.495999999999995</v>
      </c>
      <c r="G20" s="9">
        <v>55.222000000000001</v>
      </c>
      <c r="H20" s="9">
        <v>303.27100000000002</v>
      </c>
      <c r="I20" s="9">
        <v>213.14400000000001</v>
      </c>
      <c r="J20" s="9">
        <v>233.16499999999999</v>
      </c>
      <c r="L20" s="9">
        <f t="shared" ref="L20:L28" si="11">IFERROR(D20/L$3*1000,0)</f>
        <v>139.45976895355491</v>
      </c>
      <c r="M20" s="9">
        <f t="shared" ref="M20:M28" si="12">IFERROR(E20/M$3*1000,0)</f>
        <v>136.62548826574357</v>
      </c>
      <c r="N20" s="9">
        <f t="shared" ref="N20:N28" si="13">IFERROR(F20/N$3*1000,0)</f>
        <v>314.56310679611647</v>
      </c>
      <c r="O20" s="9">
        <f t="shared" ref="O20:O28" si="14">IFERROR(G20/O$3*1000,0)</f>
        <v>177.55128287569931</v>
      </c>
      <c r="P20" s="9">
        <f t="shared" ref="P20:P26" si="15">IFERROR(H20/P$3*1000,0)</f>
        <v>977.85193783452644</v>
      </c>
      <c r="Q20" s="9">
        <f t="shared" si="10"/>
        <v>662.9467201642251</v>
      </c>
      <c r="R20" s="9">
        <f t="shared" si="10"/>
        <v>705.44898947113643</v>
      </c>
    </row>
    <row r="21" spans="2:18" outlineLevel="1" x14ac:dyDescent="0.3">
      <c r="B21" s="157" t="s">
        <v>30</v>
      </c>
      <c r="C21" s="157" t="s">
        <v>31</v>
      </c>
      <c r="D21" s="9">
        <v>787.505</v>
      </c>
      <c r="E21" s="9">
        <v>700.26499999999999</v>
      </c>
      <c r="F21" s="9">
        <v>2650.4140000000002</v>
      </c>
      <c r="G21" s="9">
        <v>3533.75</v>
      </c>
      <c r="H21" s="9">
        <v>3699.9859999999999</v>
      </c>
      <c r="I21" s="9">
        <v>3319.5839999999998</v>
      </c>
      <c r="J21" s="9">
        <v>2919.8359999999998</v>
      </c>
      <c r="L21" s="9">
        <f t="shared" si="11"/>
        <v>2652.335724630359</v>
      </c>
      <c r="M21" s="9">
        <f t="shared" si="12"/>
        <v>2223.8400711359523</v>
      </c>
      <c r="N21" s="9">
        <f t="shared" si="13"/>
        <v>8464.5311701584051</v>
      </c>
      <c r="O21" s="9">
        <f t="shared" si="14"/>
        <v>11361.809529933767</v>
      </c>
      <c r="P21" s="9">
        <f t="shared" si="15"/>
        <v>11930.050944734638</v>
      </c>
      <c r="Q21" s="9">
        <f t="shared" si="10"/>
        <v>10324.979005318653</v>
      </c>
      <c r="R21" s="9">
        <f t="shared" si="10"/>
        <v>8834.0675299528011</v>
      </c>
    </row>
    <row r="22" spans="2:18" outlineLevel="1" x14ac:dyDescent="0.3">
      <c r="B22" s="97" t="s">
        <v>312</v>
      </c>
      <c r="C22" s="157" t="s">
        <v>304</v>
      </c>
      <c r="D22" s="9">
        <v>0</v>
      </c>
      <c r="E22" s="9">
        <v>0</v>
      </c>
      <c r="F22" s="9">
        <v>0</v>
      </c>
      <c r="G22" s="9">
        <v>273.40199999999999</v>
      </c>
      <c r="H22" s="9">
        <v>873.94899999999996</v>
      </c>
      <c r="I22" s="9">
        <v>287</v>
      </c>
      <c r="J22" s="9">
        <v>160.81399999999999</v>
      </c>
      <c r="L22" s="9">
        <f t="shared" si="11"/>
        <v>0</v>
      </c>
      <c r="M22" s="9">
        <f t="shared" si="12"/>
        <v>0</v>
      </c>
      <c r="N22" s="9">
        <f t="shared" si="13"/>
        <v>0</v>
      </c>
      <c r="O22" s="9">
        <f t="shared" si="14"/>
        <v>879.04957880522147</v>
      </c>
      <c r="P22" s="9">
        <f t="shared" si="15"/>
        <v>2817.917714580512</v>
      </c>
      <c r="Q22" s="9">
        <f t="shared" si="10"/>
        <v>892.66274765948185</v>
      </c>
      <c r="R22" s="9">
        <f t="shared" si="10"/>
        <v>486.54846907902697</v>
      </c>
    </row>
    <row r="23" spans="2:18" outlineLevel="1" x14ac:dyDescent="0.3">
      <c r="B23" s="157" t="s">
        <v>32</v>
      </c>
      <c r="C23" s="157" t="s">
        <v>33</v>
      </c>
      <c r="D23" s="9">
        <v>268.46699999999998</v>
      </c>
      <c r="E23" s="9">
        <v>391.399</v>
      </c>
      <c r="F23" s="9">
        <v>627.99</v>
      </c>
      <c r="G23" s="9">
        <v>1275.48</v>
      </c>
      <c r="H23" s="9">
        <v>265.75299999999999</v>
      </c>
      <c r="I23" s="9">
        <v>915.40099999999995</v>
      </c>
      <c r="J23" s="9">
        <v>360.98700000000002</v>
      </c>
      <c r="L23" s="9">
        <f t="shared" si="11"/>
        <v>904.20329392745271</v>
      </c>
      <c r="M23" s="9">
        <f t="shared" si="12"/>
        <v>1242.9705611483375</v>
      </c>
      <c r="N23" s="9">
        <f t="shared" si="13"/>
        <v>2005.5889115993871</v>
      </c>
      <c r="O23" s="9">
        <f t="shared" si="14"/>
        <v>4100.9581377403383</v>
      </c>
      <c r="P23" s="9">
        <f t="shared" si="15"/>
        <v>856.88076352614951</v>
      </c>
      <c r="Q23" s="9">
        <f t="shared" si="10"/>
        <v>2847.1929333457747</v>
      </c>
      <c r="R23" s="9">
        <f t="shared" si="10"/>
        <v>1092.1789906813508</v>
      </c>
    </row>
    <row r="24" spans="2:18" outlineLevel="1" x14ac:dyDescent="0.3">
      <c r="B24" s="157" t="s">
        <v>34</v>
      </c>
      <c r="C24" s="158" t="s">
        <v>35</v>
      </c>
      <c r="D24" s="9">
        <v>102.241</v>
      </c>
      <c r="E24" s="9">
        <v>207.75700000000001</v>
      </c>
      <c r="F24" s="9">
        <v>693.71400000000006</v>
      </c>
      <c r="G24" s="9">
        <v>359.46899999999999</v>
      </c>
      <c r="H24" s="9">
        <v>1009.65</v>
      </c>
      <c r="I24" s="9">
        <v>1654.961</v>
      </c>
      <c r="J24" s="9">
        <v>4396.5959999999995</v>
      </c>
      <c r="L24" s="9">
        <f t="shared" si="11"/>
        <v>344.35013977299519</v>
      </c>
      <c r="M24" s="9">
        <f t="shared" si="12"/>
        <v>659.77642986439707</v>
      </c>
      <c r="N24" s="9">
        <f t="shared" si="13"/>
        <v>2215.4892692897292</v>
      </c>
      <c r="O24" s="9">
        <f t="shared" si="14"/>
        <v>1155.7745482605621</v>
      </c>
      <c r="P24" s="9">
        <f t="shared" si="15"/>
        <v>3255.4652737473398</v>
      </c>
      <c r="Q24" s="9">
        <f t="shared" si="10"/>
        <v>5147.4635314609186</v>
      </c>
      <c r="R24" s="9">
        <f t="shared" si="10"/>
        <v>13302.057364153456</v>
      </c>
    </row>
    <row r="25" spans="2:18" outlineLevel="1" x14ac:dyDescent="0.3">
      <c r="B25" s="157" t="s">
        <v>36</v>
      </c>
      <c r="C25" s="157" t="s">
        <v>37</v>
      </c>
      <c r="D25" s="9">
        <v>0</v>
      </c>
      <c r="E25" s="9">
        <v>3.9369999999999998</v>
      </c>
      <c r="F25" s="9">
        <v>25.599</v>
      </c>
      <c r="G25" s="9">
        <v>68.977000000000004</v>
      </c>
      <c r="H25" s="9">
        <v>127.69799999999999</v>
      </c>
      <c r="I25" s="9">
        <v>192.18199999999999</v>
      </c>
      <c r="J25" s="9">
        <v>118.67700000000001</v>
      </c>
      <c r="L25" s="9">
        <f t="shared" si="11"/>
        <v>0</v>
      </c>
      <c r="M25" s="9">
        <f t="shared" si="12"/>
        <v>12.502778748134268</v>
      </c>
      <c r="N25" s="9">
        <f t="shared" si="13"/>
        <v>81.754598875830354</v>
      </c>
      <c r="O25" s="9">
        <f t="shared" si="14"/>
        <v>221.77673461513731</v>
      </c>
      <c r="P25" s="9">
        <f t="shared" si="15"/>
        <v>411.74308376862064</v>
      </c>
      <c r="Q25" s="9">
        <f t="shared" si="10"/>
        <v>597.74812603029443</v>
      </c>
      <c r="R25" s="9">
        <f t="shared" si="10"/>
        <v>359.06147888176207</v>
      </c>
    </row>
    <row r="26" spans="2:18" x14ac:dyDescent="0.3">
      <c r="B26" s="157" t="s">
        <v>38</v>
      </c>
      <c r="C26" s="157" t="s">
        <v>39</v>
      </c>
      <c r="D26" s="9">
        <v>878.1</v>
      </c>
      <c r="E26" s="9">
        <v>2252.163</v>
      </c>
      <c r="F26" s="9">
        <v>1924.559</v>
      </c>
      <c r="G26" s="9">
        <v>3915.0909999999999</v>
      </c>
      <c r="H26" s="9">
        <v>2825.6979999999999</v>
      </c>
      <c r="I26" s="9">
        <v>2561.2179999999998</v>
      </c>
      <c r="J26" s="9">
        <v>4847.6710000000003</v>
      </c>
      <c r="L26" s="9">
        <f t="shared" si="11"/>
        <v>2957.4618571284227</v>
      </c>
      <c r="M26" s="9">
        <f t="shared" si="12"/>
        <v>7152.2214106513384</v>
      </c>
      <c r="N26" s="9">
        <f t="shared" si="13"/>
        <v>6146.3943536024517</v>
      </c>
      <c r="O26" s="9">
        <f t="shared" si="14"/>
        <v>12587.907530062375</v>
      </c>
      <c r="P26" s="9">
        <f t="shared" si="15"/>
        <v>9111.0401754046561</v>
      </c>
      <c r="Q26" s="9">
        <f t="shared" si="10"/>
        <v>7966.2156698080926</v>
      </c>
      <c r="R26" s="9">
        <f t="shared" si="10"/>
        <v>14666.800798741378</v>
      </c>
    </row>
    <row r="27" spans="2:18" x14ac:dyDescent="0.3">
      <c r="B27" s="97" t="s">
        <v>284</v>
      </c>
      <c r="C27" s="157" t="s">
        <v>308</v>
      </c>
      <c r="D27" s="9"/>
      <c r="E27" s="9"/>
      <c r="F27" s="9"/>
      <c r="G27" s="9"/>
      <c r="H27" s="9"/>
      <c r="I27" s="9"/>
      <c r="J27" s="9"/>
      <c r="L27" s="9"/>
      <c r="M27" s="9"/>
      <c r="N27" s="9"/>
      <c r="O27" s="9"/>
      <c r="P27" s="9"/>
      <c r="Q27" s="9"/>
      <c r="R27" s="9"/>
    </row>
    <row r="28" spans="2:18" outlineLevel="1" x14ac:dyDescent="0.3">
      <c r="B28" s="157" t="s">
        <v>40</v>
      </c>
      <c r="C28" s="157" t="s">
        <v>41</v>
      </c>
      <c r="D28" s="9">
        <v>0</v>
      </c>
      <c r="E28" s="9">
        <v>0</v>
      </c>
      <c r="F28" s="9">
        <v>8.8019999999999996</v>
      </c>
      <c r="G28" s="9">
        <v>0</v>
      </c>
      <c r="H28" s="11" t="s">
        <v>20</v>
      </c>
      <c r="I28" s="11">
        <v>0</v>
      </c>
      <c r="J28" s="11">
        <v>0</v>
      </c>
      <c r="L28" s="9">
        <f t="shared" si="11"/>
        <v>0</v>
      </c>
      <c r="M28" s="9">
        <f t="shared" si="12"/>
        <v>0</v>
      </c>
      <c r="N28" s="9">
        <f t="shared" si="13"/>
        <v>28.110628513030147</v>
      </c>
      <c r="O28" s="9">
        <f t="shared" si="14"/>
        <v>0</v>
      </c>
      <c r="P28" s="9">
        <f>IFERROR(H28/P$3*1000,0)</f>
        <v>0</v>
      </c>
      <c r="Q28" s="9">
        <f>IFERROR(I28/Q$3*1000,0)</f>
        <v>0</v>
      </c>
      <c r="R28" s="9">
        <f>IFERROR(J28/R$3*1000,0)</f>
        <v>0</v>
      </c>
    </row>
    <row r="29" spans="2:18" ht="15" thickBot="1" x14ac:dyDescent="0.35">
      <c r="B29" s="157"/>
      <c r="C29" s="157"/>
      <c r="D29" s="12"/>
      <c r="E29" s="12"/>
      <c r="F29" s="12"/>
      <c r="G29" s="12"/>
      <c r="H29" s="12"/>
      <c r="I29" s="12"/>
      <c r="J29" s="12"/>
      <c r="L29" s="12"/>
      <c r="M29" s="12"/>
      <c r="N29" s="12"/>
      <c r="O29" s="12"/>
      <c r="P29" s="12"/>
      <c r="Q29" s="12"/>
      <c r="R29" s="12"/>
    </row>
    <row r="30" spans="2:18" ht="15" thickBot="1" x14ac:dyDescent="0.35">
      <c r="B30" s="159" t="s">
        <v>42</v>
      </c>
      <c r="C30" s="159" t="s">
        <v>43</v>
      </c>
      <c r="D30" s="14">
        <f t="shared" ref="D30:J30" si="16">+D19+D6</f>
        <v>8536.6020000000008</v>
      </c>
      <c r="E30" s="14">
        <f t="shared" si="16"/>
        <v>9788.3070000000007</v>
      </c>
      <c r="F30" s="14">
        <f t="shared" si="16"/>
        <v>13939.216</v>
      </c>
      <c r="G30" s="14">
        <f t="shared" si="16"/>
        <v>16147.833000000001</v>
      </c>
      <c r="H30" s="14">
        <f t="shared" si="16"/>
        <v>16652.12</v>
      </c>
      <c r="I30" s="14">
        <f t="shared" si="16"/>
        <v>22859.097999999998</v>
      </c>
      <c r="J30" s="14">
        <f t="shared" si="16"/>
        <v>37574.506999999998</v>
      </c>
      <c r="L30" s="14">
        <f t="shared" ref="L30:Q30" si="17">+L19+L6</f>
        <v>28751.480246539351</v>
      </c>
      <c r="M30" s="14">
        <f t="shared" si="17"/>
        <v>31084.845501603733</v>
      </c>
      <c r="N30" s="14">
        <f t="shared" si="17"/>
        <v>44517.169136433316</v>
      </c>
      <c r="O30" s="14">
        <f t="shared" si="17"/>
        <v>51918.95376503119</v>
      </c>
      <c r="P30" s="14">
        <f t="shared" si="17"/>
        <v>53692.26800799639</v>
      </c>
      <c r="Q30" s="14">
        <f t="shared" si="17"/>
        <v>71099.181985008254</v>
      </c>
      <c r="R30" s="14">
        <f t="shared" ref="R30" si="18">+R19+R6</f>
        <v>113683.00556698536</v>
      </c>
    </row>
    <row r="31" spans="2:18" x14ac:dyDescent="0.3">
      <c r="B31" s="157"/>
      <c r="C31" s="157"/>
      <c r="D31" s="9"/>
      <c r="E31" s="9"/>
      <c r="F31" s="9"/>
      <c r="G31" s="9"/>
      <c r="H31" s="9"/>
      <c r="I31" s="9"/>
      <c r="J31" s="9"/>
      <c r="L31" s="9"/>
      <c r="M31" s="9"/>
      <c r="N31" s="9"/>
      <c r="O31" s="9"/>
      <c r="P31" s="9"/>
      <c r="Q31" s="9"/>
      <c r="R31" s="9"/>
    </row>
    <row r="32" spans="2:18" x14ac:dyDescent="0.3">
      <c r="B32" s="156" t="s">
        <v>44</v>
      </c>
      <c r="C32" s="156" t="s">
        <v>45</v>
      </c>
      <c r="D32" s="13">
        <f t="shared" ref="D32:F32" si="19">+D33+D41</f>
        <v>1873.3670000000002</v>
      </c>
      <c r="E32" s="13">
        <f t="shared" si="19"/>
        <v>1527.4540000000002</v>
      </c>
      <c r="F32" s="13">
        <f t="shared" si="19"/>
        <v>2543.5970000000007</v>
      </c>
      <c r="G32" s="13">
        <f>+G33+G41</f>
        <v>4896.6480000000001</v>
      </c>
      <c r="H32" s="13">
        <f>+H33+H41</f>
        <v>5119.4949999999999</v>
      </c>
      <c r="I32" s="13">
        <f>+I33+I41</f>
        <v>5144.7329999999993</v>
      </c>
      <c r="J32" s="13">
        <f>+J33+J41</f>
        <v>5749.8840000000009</v>
      </c>
      <c r="L32" s="13">
        <f t="shared" ref="L32" si="20">+L33+L41</f>
        <v>6309.5449799602557</v>
      </c>
      <c r="M32" s="13">
        <f t="shared" ref="M32" si="21">+M33+M41</f>
        <v>4850.7542316364452</v>
      </c>
      <c r="N32" s="13">
        <f t="shared" ref="N32" si="22">+N33+N41</f>
        <v>8123.393587123147</v>
      </c>
      <c r="O32" s="13">
        <f>+O33+O41</f>
        <v>15743.836409234133</v>
      </c>
      <c r="P32" s="13">
        <f>+P33+P41</f>
        <v>16507.045205391114</v>
      </c>
      <c r="Q32" s="13">
        <f>IFERROR(I32/Q$3*1000,0)</f>
        <v>16001.782215172156</v>
      </c>
      <c r="R32" s="13">
        <f>IFERROR(J32/R$3*1000,0)</f>
        <v>17396.478276654972</v>
      </c>
    </row>
    <row r="33" spans="2:18" outlineLevel="1" x14ac:dyDescent="0.3">
      <c r="B33" s="80" t="s">
        <v>46</v>
      </c>
      <c r="C33" s="80" t="s">
        <v>47</v>
      </c>
      <c r="D33" s="9">
        <f t="shared" ref="D33:G33" si="23">SUM(D34:D39)</f>
        <v>1873.3670000000002</v>
      </c>
      <c r="E33" s="9">
        <f t="shared" si="23"/>
        <v>1527.4540000000002</v>
      </c>
      <c r="F33" s="9">
        <f t="shared" si="23"/>
        <v>2158.5020000000004</v>
      </c>
      <c r="G33" s="9">
        <f t="shared" si="23"/>
        <v>4924.7780000000002</v>
      </c>
      <c r="H33" s="9">
        <f>SUM(H34:H39)</f>
        <v>5145.1959999999999</v>
      </c>
      <c r="I33" s="9">
        <f>SUM(I34:I40)</f>
        <v>5151.5729999999994</v>
      </c>
      <c r="J33" s="9">
        <f>SUM(J34:J40)</f>
        <v>5753.8100000000013</v>
      </c>
      <c r="L33" s="9">
        <f t="shared" ref="L33" si="24">SUM(L34:L39)</f>
        <v>6309.5449799602557</v>
      </c>
      <c r="M33" s="9">
        <f t="shared" ref="M33" si="25">SUM(M34:M39)</f>
        <v>4850.7542316364452</v>
      </c>
      <c r="N33" s="9">
        <f t="shared" ref="N33" si="26">SUM(N34:N39)</f>
        <v>6893.5296371997947</v>
      </c>
      <c r="O33" s="9">
        <f t="shared" ref="O33" si="27">SUM(O34:O39)</f>
        <v>15834.280753649282</v>
      </c>
      <c r="P33" s="9">
        <f>SUM(P34:P39)</f>
        <v>16589.914232282197</v>
      </c>
      <c r="Q33" s="9">
        <f>SUM(Q34:Q39)</f>
        <v>16022.241920935587</v>
      </c>
      <c r="R33" s="9">
        <f>SUM(R34:R39)</f>
        <v>17411.560571221111</v>
      </c>
    </row>
    <row r="34" spans="2:18" outlineLevel="1" x14ac:dyDescent="0.3">
      <c r="B34" s="157" t="s">
        <v>48</v>
      </c>
      <c r="C34" s="157" t="s">
        <v>49</v>
      </c>
      <c r="D34" s="9">
        <v>167.7</v>
      </c>
      <c r="E34" s="9">
        <v>167.7</v>
      </c>
      <c r="F34" s="9">
        <v>158.07499999999999</v>
      </c>
      <c r="G34" s="9">
        <v>195.39</v>
      </c>
      <c r="H34" s="9">
        <v>195.39</v>
      </c>
      <c r="I34" s="9">
        <v>195.31399999999999</v>
      </c>
      <c r="J34" s="9">
        <v>232.94800000000001</v>
      </c>
      <c r="L34" s="9">
        <f t="shared" ref="L34:L41" si="28">IFERROR(D34/L$3*1000,0)</f>
        <v>564.81762150146494</v>
      </c>
      <c r="M34" s="9">
        <f t="shared" ref="M34:M41" si="29">IFERROR(E34/M$3*1000,0)</f>
        <v>532.56692813363395</v>
      </c>
      <c r="N34" s="9">
        <f t="shared" ref="N34:N41" si="30">IFERROR(F34/N$3*1000,0)</f>
        <v>504.83840061318341</v>
      </c>
      <c r="O34" s="9">
        <f t="shared" ref="O34:O41" si="31">IFERROR(G34/O$3*1000,0)</f>
        <v>628.22326538486277</v>
      </c>
      <c r="P34" s="9">
        <f t="shared" ref="P34:R41" si="32">IFERROR(H34/P$3*1000,0)</f>
        <v>630.00580383052818</v>
      </c>
      <c r="Q34" s="9">
        <f t="shared" si="32"/>
        <v>607.48965817548435</v>
      </c>
      <c r="R34" s="9">
        <f t="shared" si="32"/>
        <v>704.79244826334264</v>
      </c>
    </row>
    <row r="35" spans="2:18" outlineLevel="1" x14ac:dyDescent="0.3">
      <c r="B35" s="157" t="s">
        <v>303</v>
      </c>
      <c r="C35" s="157" t="s">
        <v>50</v>
      </c>
      <c r="D35" s="9">
        <v>1628.451</v>
      </c>
      <c r="E35" s="9">
        <v>1628.451</v>
      </c>
      <c r="F35" s="9">
        <v>1628.451</v>
      </c>
      <c r="G35" s="9">
        <v>3080.8380000000002</v>
      </c>
      <c r="H35" s="9">
        <v>3080.8380000000002</v>
      </c>
      <c r="I35" s="9">
        <v>3080.8380000000002</v>
      </c>
      <c r="J35" s="9">
        <v>5056.2070000000003</v>
      </c>
      <c r="L35" s="9">
        <f t="shared" si="28"/>
        <v>5484.6620187935732</v>
      </c>
      <c r="M35" s="9">
        <f t="shared" si="29"/>
        <v>5171.4916319984759</v>
      </c>
      <c r="N35" s="9">
        <f t="shared" si="30"/>
        <v>5200.7249616760346</v>
      </c>
      <c r="O35" s="9">
        <f t="shared" si="31"/>
        <v>9905.594495530835</v>
      </c>
      <c r="P35" s="9">
        <f t="shared" si="32"/>
        <v>9933.7009092667849</v>
      </c>
      <c r="Q35" s="9">
        <f t="shared" si="32"/>
        <v>9582.4017915461427</v>
      </c>
      <c r="R35" s="9">
        <f t="shared" si="32"/>
        <v>15297.733873895682</v>
      </c>
    </row>
    <row r="36" spans="2:18" outlineLevel="1" x14ac:dyDescent="0.3">
      <c r="B36" s="157" t="s">
        <v>51</v>
      </c>
      <c r="C36" s="157" t="s">
        <v>52</v>
      </c>
      <c r="D36" s="9">
        <v>33.149000000000001</v>
      </c>
      <c r="E36" s="9">
        <v>8.8800000000000008</v>
      </c>
      <c r="F36" s="9">
        <v>0</v>
      </c>
      <c r="G36" s="9">
        <v>42.295999999999999</v>
      </c>
      <c r="H36" s="9">
        <v>83.74</v>
      </c>
      <c r="I36" s="9">
        <v>92.69</v>
      </c>
      <c r="J36" s="9">
        <v>68.397999999999996</v>
      </c>
      <c r="L36" s="9">
        <f t="shared" si="28"/>
        <v>111.64662692398369</v>
      </c>
      <c r="M36" s="9">
        <f t="shared" si="29"/>
        <v>28.200323922639654</v>
      </c>
      <c r="N36" s="9">
        <f t="shared" si="30"/>
        <v>0</v>
      </c>
      <c r="O36" s="9">
        <f t="shared" si="31"/>
        <v>135.99125458169894</v>
      </c>
      <c r="P36" s="9">
        <f t="shared" si="32"/>
        <v>270.00709357064551</v>
      </c>
      <c r="Q36" s="9">
        <f t="shared" si="32"/>
        <v>288.29585393922429</v>
      </c>
      <c r="R36" s="9">
        <f t="shared" si="32"/>
        <v>206.9405784823914</v>
      </c>
    </row>
    <row r="37" spans="2:18" outlineLevel="1" x14ac:dyDescent="0.3">
      <c r="B37" s="157" t="s">
        <v>53</v>
      </c>
      <c r="C37" s="157" t="s">
        <v>54</v>
      </c>
      <c r="D37" s="9">
        <v>44.067</v>
      </c>
      <c r="E37" s="9">
        <v>-277.577</v>
      </c>
      <c r="F37" s="9">
        <v>818.70699999999999</v>
      </c>
      <c r="G37" s="9">
        <v>1348.3430000000001</v>
      </c>
      <c r="H37" s="9">
        <v>2006.8610000000001</v>
      </c>
      <c r="I37" s="9">
        <v>2267.98</v>
      </c>
      <c r="J37" s="9">
        <v>2303.2820000000002</v>
      </c>
      <c r="L37" s="9">
        <f t="shared" si="28"/>
        <v>148.41871274123469</v>
      </c>
      <c r="M37" s="9">
        <f t="shared" si="29"/>
        <v>-881.50465241830489</v>
      </c>
      <c r="N37" s="9">
        <f t="shared" si="30"/>
        <v>2614.6748850281042</v>
      </c>
      <c r="O37" s="9">
        <f t="shared" si="31"/>
        <v>4335.2292457076719</v>
      </c>
      <c r="P37" s="9">
        <f t="shared" si="32"/>
        <v>6470.8228541948802</v>
      </c>
      <c r="Q37" s="9">
        <f t="shared" si="32"/>
        <v>7054.1507262604591</v>
      </c>
      <c r="R37" s="9">
        <f t="shared" si="32"/>
        <v>6968.6615030860476</v>
      </c>
    </row>
    <row r="38" spans="2:18" outlineLevel="1" x14ac:dyDescent="0.3">
      <c r="B38" s="157" t="s">
        <v>55</v>
      </c>
      <c r="C38" s="157" t="s">
        <v>56</v>
      </c>
      <c r="D38" s="9">
        <v>0</v>
      </c>
      <c r="E38" s="9">
        <v>0</v>
      </c>
      <c r="F38" s="9">
        <v>-356.13600000000002</v>
      </c>
      <c r="G38" s="9">
        <v>-182.42400000000001</v>
      </c>
      <c r="H38" s="9">
        <v>-182.42400000000001</v>
      </c>
      <c r="I38" s="9">
        <v>-186.40799999999999</v>
      </c>
      <c r="J38" s="9">
        <v>-192.53399999999999</v>
      </c>
      <c r="L38" s="9">
        <f t="shared" si="28"/>
        <v>0</v>
      </c>
      <c r="M38" s="9">
        <f t="shared" si="29"/>
        <v>0</v>
      </c>
      <c r="N38" s="9">
        <f t="shared" si="30"/>
        <v>-1137.3786407766991</v>
      </c>
      <c r="O38" s="9">
        <f t="shared" si="31"/>
        <v>-586.53462799819954</v>
      </c>
      <c r="P38" s="9">
        <f t="shared" si="32"/>
        <v>-588.19887792609791</v>
      </c>
      <c r="Q38" s="9">
        <f t="shared" si="32"/>
        <v>-579.7891200895773</v>
      </c>
      <c r="R38" s="9">
        <f t="shared" si="32"/>
        <v>-582.51845576667074</v>
      </c>
    </row>
    <row r="39" spans="2:18" outlineLevel="1" x14ac:dyDescent="0.3">
      <c r="B39" s="157" t="s">
        <v>57</v>
      </c>
      <c r="C39" s="157" t="s">
        <v>58</v>
      </c>
      <c r="D39" s="9">
        <v>0</v>
      </c>
      <c r="E39" s="9">
        <v>0</v>
      </c>
      <c r="F39" s="9">
        <v>-90.594999999999999</v>
      </c>
      <c r="G39" s="9">
        <v>440.33499999999998</v>
      </c>
      <c r="H39" s="9">
        <v>-39.209000000000003</v>
      </c>
      <c r="I39" s="9">
        <v>-299.10300000000001</v>
      </c>
      <c r="J39" s="9">
        <v>-1713.432</v>
      </c>
      <c r="L39" s="9">
        <f t="shared" si="28"/>
        <v>0</v>
      </c>
      <c r="M39" s="9">
        <f t="shared" si="29"/>
        <v>0</v>
      </c>
      <c r="N39" s="9">
        <f t="shared" si="30"/>
        <v>-289.3299693408278</v>
      </c>
      <c r="O39" s="9">
        <f t="shared" si="31"/>
        <v>1415.7771204424153</v>
      </c>
      <c r="P39" s="9">
        <f t="shared" si="32"/>
        <v>-126.42355065454313</v>
      </c>
      <c r="Q39" s="9">
        <f t="shared" si="32"/>
        <v>-930.30698889614644</v>
      </c>
      <c r="R39" s="9">
        <f t="shared" si="32"/>
        <v>-5184.0493767396829</v>
      </c>
    </row>
    <row r="40" spans="2:18" outlineLevel="1" x14ac:dyDescent="0.3">
      <c r="B40" s="157" t="s">
        <v>59</v>
      </c>
      <c r="C40" s="157" t="s">
        <v>306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0.26200000000000001</v>
      </c>
      <c r="J40" s="9">
        <v>-1.0589999999999999</v>
      </c>
      <c r="L40" s="9">
        <f t="shared" si="28"/>
        <v>0</v>
      </c>
      <c r="M40" s="9">
        <f t="shared" si="29"/>
        <v>0</v>
      </c>
      <c r="N40" s="9">
        <f t="shared" si="30"/>
        <v>0</v>
      </c>
      <c r="O40" s="9">
        <f t="shared" si="31"/>
        <v>0</v>
      </c>
      <c r="P40" s="9">
        <f t="shared" si="32"/>
        <v>0</v>
      </c>
      <c r="Q40" s="9">
        <f t="shared" si="32"/>
        <v>0.81490466859506705</v>
      </c>
      <c r="R40" s="9">
        <f t="shared" si="32"/>
        <v>-3.2040421154544352</v>
      </c>
    </row>
    <row r="41" spans="2:18" outlineLevel="1" x14ac:dyDescent="0.3">
      <c r="B41" s="80" t="s">
        <v>60</v>
      </c>
      <c r="C41" s="80" t="s">
        <v>61</v>
      </c>
      <c r="D41" s="16">
        <v>0</v>
      </c>
      <c r="E41" s="16">
        <v>0</v>
      </c>
      <c r="F41" s="16">
        <v>385.09500000000003</v>
      </c>
      <c r="G41" s="16">
        <v>-28.13</v>
      </c>
      <c r="H41" s="16">
        <v>-25.701000000000001</v>
      </c>
      <c r="I41" s="16">
        <v>-6.84</v>
      </c>
      <c r="J41" s="16">
        <v>-3.9260000000000002</v>
      </c>
      <c r="L41" s="16">
        <f t="shared" si="28"/>
        <v>0</v>
      </c>
      <c r="M41" s="16">
        <f t="shared" si="29"/>
        <v>0</v>
      </c>
      <c r="N41" s="16">
        <f t="shared" si="30"/>
        <v>1229.863949923352</v>
      </c>
      <c r="O41" s="16">
        <f t="shared" si="31"/>
        <v>-90.444344415150141</v>
      </c>
      <c r="P41" s="16">
        <f t="shared" si="32"/>
        <v>-82.869026891081461</v>
      </c>
      <c r="Q41" s="16">
        <f t="shared" si="32"/>
        <v>-21.274610432023888</v>
      </c>
      <c r="R41" s="16">
        <f t="shared" si="32"/>
        <v>-11.878252450683773</v>
      </c>
    </row>
    <row r="42" spans="2:18" outlineLevel="1" collapsed="1" x14ac:dyDescent="0.3">
      <c r="B42" s="157"/>
      <c r="C42" s="157"/>
      <c r="D42" s="9"/>
      <c r="E42" s="9"/>
      <c r="F42" s="9"/>
      <c r="G42" s="9"/>
      <c r="H42" s="9"/>
      <c r="I42" s="9"/>
      <c r="J42" s="9"/>
      <c r="L42" s="9"/>
      <c r="M42" s="9"/>
      <c r="N42" s="9"/>
      <c r="O42" s="9"/>
      <c r="P42" s="9"/>
      <c r="Q42" s="9"/>
      <c r="R42" s="9"/>
    </row>
    <row r="43" spans="2:18" x14ac:dyDescent="0.3">
      <c r="B43" s="156" t="s">
        <v>62</v>
      </c>
      <c r="C43" s="156" t="s">
        <v>63</v>
      </c>
      <c r="D43" s="13">
        <f t="shared" ref="D43:F43" si="33">SUM(D44:D50)</f>
        <v>4126.7219999999998</v>
      </c>
      <c r="E43" s="13">
        <f t="shared" si="33"/>
        <v>6362.759</v>
      </c>
      <c r="F43" s="13">
        <f t="shared" si="33"/>
        <v>7034.7829999999994</v>
      </c>
      <c r="G43" s="13">
        <f>SUM(G44:G50)</f>
        <v>3947.2909999999993</v>
      </c>
      <c r="H43" s="13">
        <f>SUM(H44:H50)</f>
        <v>6254.7900000000009</v>
      </c>
      <c r="I43" s="13">
        <f>SUM(I44:I50)</f>
        <v>9130.4669999999987</v>
      </c>
      <c r="J43" s="13">
        <f>SUM(J44:J50)</f>
        <v>21758.606</v>
      </c>
      <c r="L43" s="13">
        <f t="shared" ref="L43" si="34">SUM(L44:L50)</f>
        <v>13898.89865615843</v>
      </c>
      <c r="M43" s="13">
        <f t="shared" ref="M43" si="35">SUM(M44:M50)</f>
        <v>20206.291085775985</v>
      </c>
      <c r="N43" s="13">
        <f t="shared" ref="N43" si="36">SUM(N44:N50)</f>
        <v>22466.731604496679</v>
      </c>
      <c r="O43" s="13">
        <f>SUM(O44:O50)</f>
        <v>12691.437849655971</v>
      </c>
      <c r="P43" s="13">
        <f>SUM(P44:P50)</f>
        <v>20167.633971754687</v>
      </c>
      <c r="Q43" s="13">
        <f t="shared" ref="Q43:R50" si="37">IFERROR(I43/Q$3*1000,0)</f>
        <v>28398.702995241201</v>
      </c>
      <c r="R43" s="13">
        <f t="shared" si="37"/>
        <v>65831.435314050599</v>
      </c>
    </row>
    <row r="44" spans="2:18" x14ac:dyDescent="0.3">
      <c r="B44" s="157" t="s">
        <v>64</v>
      </c>
      <c r="C44" s="157" t="s">
        <v>24</v>
      </c>
      <c r="D44" s="9">
        <v>2940.2759999999998</v>
      </c>
      <c r="E44" s="9">
        <v>2417.0059999999999</v>
      </c>
      <c r="F44" s="9">
        <v>2374.165</v>
      </c>
      <c r="G44" s="9">
        <v>1924.751</v>
      </c>
      <c r="H44" s="9">
        <v>1789.587</v>
      </c>
      <c r="I44" s="9">
        <v>5263.1850000000004</v>
      </c>
      <c r="J44" s="9">
        <v>7883.8450000000003</v>
      </c>
      <c r="L44" s="9">
        <f t="shared" ref="L44:L50" si="38">IFERROR(D44/L$3*1000,0)</f>
        <v>9902.9200767909442</v>
      </c>
      <c r="M44" s="9">
        <f t="shared" ref="M44:M50" si="39">IFERROR(E44/M$3*1000,0)</f>
        <v>7675.7153291625646</v>
      </c>
      <c r="N44" s="9">
        <f t="shared" ref="N44:N50" si="40">IFERROR(F44/N$3*1000,0)</f>
        <v>7582.284747061829</v>
      </c>
      <c r="O44" s="9">
        <f t="shared" ref="O44:O50" si="41">IFERROR(G44/O$3*1000,0)</f>
        <v>6188.5119927978913</v>
      </c>
      <c r="P44" s="9">
        <f t="shared" ref="P44:P50" si="42">IFERROR(H44/P$3*1000,0)</f>
        <v>5770.2553685432395</v>
      </c>
      <c r="Q44" s="9">
        <f t="shared" si="37"/>
        <v>16370.206214425682</v>
      </c>
      <c r="R44" s="9">
        <f t="shared" si="37"/>
        <v>23852.853079995159</v>
      </c>
    </row>
    <row r="45" spans="2:18" x14ac:dyDescent="0.3">
      <c r="B45" s="157" t="s">
        <v>65</v>
      </c>
      <c r="C45" s="157" t="s">
        <v>66</v>
      </c>
      <c r="D45" s="9">
        <v>498.40100000000001</v>
      </c>
      <c r="E45" s="9">
        <v>3208.7080000000001</v>
      </c>
      <c r="F45" s="9">
        <v>3301.5909999999999</v>
      </c>
      <c r="G45" s="9">
        <v>757.08699999999999</v>
      </c>
      <c r="H45" s="9">
        <v>3483.096</v>
      </c>
      <c r="I45" s="9">
        <v>2624.241</v>
      </c>
      <c r="J45" s="9">
        <v>10909.019</v>
      </c>
      <c r="L45" s="9">
        <f t="shared" si="38"/>
        <v>1678.6265198208209</v>
      </c>
      <c r="M45" s="9">
        <f t="shared" si="39"/>
        <v>10189.932992473563</v>
      </c>
      <c r="N45" s="9">
        <f t="shared" si="40"/>
        <v>10544.171563617781</v>
      </c>
      <c r="O45" s="9">
        <f t="shared" si="41"/>
        <v>2434.206803421002</v>
      </c>
      <c r="P45" s="9">
        <f t="shared" si="42"/>
        <v>11230.721609595666</v>
      </c>
      <c r="Q45" s="9">
        <f t="shared" si="37"/>
        <v>8162.2375664831579</v>
      </c>
      <c r="R45" s="9">
        <f t="shared" si="37"/>
        <v>33005.624470531286</v>
      </c>
    </row>
    <row r="46" spans="2:18" x14ac:dyDescent="0.3">
      <c r="B46" s="157" t="s">
        <v>67</v>
      </c>
      <c r="C46" s="157" t="s">
        <v>68</v>
      </c>
      <c r="D46" s="9">
        <v>47.366</v>
      </c>
      <c r="E46" s="9">
        <v>49.792000000000002</v>
      </c>
      <c r="F46" s="9">
        <v>144.36099999999999</v>
      </c>
      <c r="G46" s="9">
        <v>126.687</v>
      </c>
      <c r="H46" s="9">
        <v>108.971</v>
      </c>
      <c r="I46" s="9">
        <v>286.298</v>
      </c>
      <c r="J46" s="9">
        <v>917.12199999999996</v>
      </c>
      <c r="L46" s="9">
        <f t="shared" si="38"/>
        <v>159.52982385234583</v>
      </c>
      <c r="M46" s="9">
        <f t="shared" si="39"/>
        <v>158.12505954460289</v>
      </c>
      <c r="N46" s="9">
        <f t="shared" si="40"/>
        <v>461.04049565661728</v>
      </c>
      <c r="O46" s="9">
        <f t="shared" si="41"/>
        <v>407.32750305446598</v>
      </c>
      <c r="P46" s="9">
        <f t="shared" si="42"/>
        <v>351.36067582382151</v>
      </c>
      <c r="Q46" s="9">
        <f t="shared" si="37"/>
        <v>890.47930079935315</v>
      </c>
      <c r="R46" s="9">
        <f t="shared" si="37"/>
        <v>2774.7851869780952</v>
      </c>
    </row>
    <row r="47" spans="2:18" outlineLevel="1" x14ac:dyDescent="0.3">
      <c r="B47" s="157" t="s">
        <v>69</v>
      </c>
      <c r="C47" s="157" t="s">
        <v>70</v>
      </c>
      <c r="D47" s="9">
        <v>53.197000000000003</v>
      </c>
      <c r="E47" s="9">
        <v>71.197000000000003</v>
      </c>
      <c r="F47" s="9">
        <v>206.76300000000001</v>
      </c>
      <c r="G47" s="9">
        <v>268.86500000000001</v>
      </c>
      <c r="H47" s="9">
        <v>325.80799999999999</v>
      </c>
      <c r="I47" s="9">
        <v>277.54300000000001</v>
      </c>
      <c r="J47" s="9">
        <v>599.71600000000001</v>
      </c>
      <c r="L47" s="9">
        <f t="shared" si="38"/>
        <v>179.16877168165436</v>
      </c>
      <c r="M47" s="9">
        <f t="shared" si="39"/>
        <v>226.10117818920895</v>
      </c>
      <c r="N47" s="9">
        <f t="shared" si="40"/>
        <v>660.33150229943794</v>
      </c>
      <c r="O47" s="9">
        <f t="shared" si="41"/>
        <v>864.46209246993772</v>
      </c>
      <c r="P47" s="9">
        <f t="shared" si="42"/>
        <v>1050.5191203972399</v>
      </c>
      <c r="Q47" s="9">
        <f t="shared" si="37"/>
        <v>863.24842151099506</v>
      </c>
      <c r="R47" s="9">
        <f t="shared" si="37"/>
        <v>1814.4620597845819</v>
      </c>
    </row>
    <row r="48" spans="2:18" outlineLevel="1" x14ac:dyDescent="0.3">
      <c r="B48" s="157" t="s">
        <v>71</v>
      </c>
      <c r="C48" s="157" t="s">
        <v>72</v>
      </c>
      <c r="D48" s="9">
        <v>49.088999999999999</v>
      </c>
      <c r="E48" s="9">
        <v>52.817</v>
      </c>
      <c r="F48" s="9">
        <v>621.59400000000005</v>
      </c>
      <c r="G48" s="9">
        <v>551.67600000000004</v>
      </c>
      <c r="H48" s="9">
        <v>326.08999999999997</v>
      </c>
      <c r="I48" s="9">
        <v>251.739</v>
      </c>
      <c r="J48" s="9">
        <v>568.67999999999995</v>
      </c>
      <c r="L48" s="9">
        <f t="shared" si="38"/>
        <v>165.33292917045566</v>
      </c>
      <c r="M48" s="9">
        <f t="shared" si="39"/>
        <v>167.73158880879038</v>
      </c>
      <c r="N48" s="9">
        <f t="shared" si="40"/>
        <v>1985.1622381195709</v>
      </c>
      <c r="O48" s="9">
        <f t="shared" si="41"/>
        <v>1773.7637450967786</v>
      </c>
      <c r="P48" s="9">
        <f t="shared" si="42"/>
        <v>1051.4283871799832</v>
      </c>
      <c r="Q48" s="9">
        <f t="shared" si="37"/>
        <v>782.98964262386858</v>
      </c>
      <c r="R48" s="9">
        <f t="shared" si="37"/>
        <v>1720.5615393924725</v>
      </c>
    </row>
    <row r="49" spans="2:18" outlineLevel="1" x14ac:dyDescent="0.3">
      <c r="B49" s="157" t="s">
        <v>73</v>
      </c>
      <c r="C49" s="157" t="s">
        <v>74</v>
      </c>
      <c r="D49" s="9">
        <v>59.533000000000001</v>
      </c>
      <c r="E49" s="9">
        <v>87.713999999999999</v>
      </c>
      <c r="F49" s="9">
        <v>386.30900000000003</v>
      </c>
      <c r="G49" s="9">
        <v>318.22500000000002</v>
      </c>
      <c r="H49" s="9">
        <v>221.238</v>
      </c>
      <c r="I49" s="9">
        <v>141.24799999999999</v>
      </c>
      <c r="J49" s="9">
        <v>535.67399999999998</v>
      </c>
      <c r="L49" s="9">
        <f t="shared" si="38"/>
        <v>200.50857162102992</v>
      </c>
      <c r="M49" s="9">
        <f t="shared" si="39"/>
        <v>278.55441582774938</v>
      </c>
      <c r="N49" s="9">
        <f t="shared" si="40"/>
        <v>1233.741057741441</v>
      </c>
      <c r="O49" s="9">
        <f t="shared" si="41"/>
        <v>1023.1657128158962</v>
      </c>
      <c r="P49" s="9">
        <f t="shared" si="42"/>
        <v>713.34881021474177</v>
      </c>
      <c r="Q49" s="9">
        <f t="shared" si="37"/>
        <v>439.32692606761844</v>
      </c>
      <c r="R49" s="9">
        <f t="shared" si="37"/>
        <v>1620.7007140263827</v>
      </c>
    </row>
    <row r="50" spans="2:18" outlineLevel="1" x14ac:dyDescent="0.3">
      <c r="B50" s="157" t="s">
        <v>75</v>
      </c>
      <c r="C50" s="157" t="s">
        <v>76</v>
      </c>
      <c r="D50" s="9">
        <v>478.86</v>
      </c>
      <c r="E50" s="9">
        <v>475.52499999999998</v>
      </c>
      <c r="F50" s="9">
        <v>0</v>
      </c>
      <c r="G50" s="9">
        <v>0</v>
      </c>
      <c r="H50" s="11">
        <v>0</v>
      </c>
      <c r="I50" s="11">
        <v>286.21300000000002</v>
      </c>
      <c r="J50" s="11">
        <v>344.55</v>
      </c>
      <c r="L50" s="9">
        <f t="shared" si="38"/>
        <v>1612.8119632211781</v>
      </c>
      <c r="M50" s="9">
        <f t="shared" si="39"/>
        <v>1510.1305217695069</v>
      </c>
      <c r="N50" s="9">
        <f t="shared" si="40"/>
        <v>0</v>
      </c>
      <c r="O50" s="9">
        <f t="shared" si="41"/>
        <v>0</v>
      </c>
      <c r="P50" s="9">
        <f t="shared" si="42"/>
        <v>0</v>
      </c>
      <c r="Q50" s="9">
        <f t="shared" si="37"/>
        <v>890.21492333053413</v>
      </c>
      <c r="R50" s="9">
        <f t="shared" si="37"/>
        <v>1042.4482633426117</v>
      </c>
    </row>
    <row r="51" spans="2:18" outlineLevel="1" collapsed="1" x14ac:dyDescent="0.3">
      <c r="B51" s="157"/>
      <c r="C51" s="157"/>
      <c r="D51" s="9"/>
      <c r="E51" s="9"/>
      <c r="F51" s="9"/>
      <c r="G51" s="9"/>
      <c r="H51" s="9"/>
      <c r="I51" s="9"/>
      <c r="J51" s="9"/>
      <c r="L51" s="9"/>
      <c r="M51" s="9"/>
      <c r="N51" s="9"/>
      <c r="O51" s="9"/>
      <c r="P51" s="9"/>
      <c r="Q51" s="9"/>
      <c r="R51" s="9"/>
    </row>
    <row r="52" spans="2:18" x14ac:dyDescent="0.3">
      <c r="B52" s="156" t="s">
        <v>77</v>
      </c>
      <c r="C52" s="156" t="s">
        <v>78</v>
      </c>
      <c r="D52" s="13">
        <f t="shared" ref="D52:G52" si="43">SUM(D53:D60)</f>
        <v>2536.5129999999999</v>
      </c>
      <c r="E52" s="13">
        <f t="shared" si="43"/>
        <v>1898.0939999999998</v>
      </c>
      <c r="F52" s="13">
        <f t="shared" si="43"/>
        <v>4360.8360000000002</v>
      </c>
      <c r="G52" s="13">
        <f t="shared" si="43"/>
        <v>7303.8940000000002</v>
      </c>
      <c r="H52" s="13">
        <f>SUM(H53:H60)</f>
        <v>5277.835</v>
      </c>
      <c r="I52" s="13">
        <f>SUM(I53:I60)</f>
        <v>8583.896999999999</v>
      </c>
      <c r="J52" s="13">
        <f>SUM(J53:J60)</f>
        <v>10066.017</v>
      </c>
      <c r="L52" s="13">
        <f t="shared" ref="L52" si="44">SUM(L53:L60)</f>
        <v>8543.036610420666</v>
      </c>
      <c r="M52" s="13">
        <f t="shared" ref="M52" si="45">SUM(M53:M60)</f>
        <v>6027.8001841913047</v>
      </c>
      <c r="N52" s="13">
        <f t="shared" ref="N52" si="46">SUM(N53:N60)</f>
        <v>13927.043944813489</v>
      </c>
      <c r="O52" s="13">
        <f t="shared" ref="O52" si="47">SUM(O53:O60)</f>
        <v>23483.679506141085</v>
      </c>
      <c r="P52" s="13">
        <f>SUM(P53:P60)</f>
        <v>17017.588830850586</v>
      </c>
      <c r="Q52" s="13">
        <f t="shared" ref="Q52:R60" si="48">IFERROR(I52/Q$3*1000,0)</f>
        <v>26698.693664271716</v>
      </c>
      <c r="R52" s="13">
        <f t="shared" si="48"/>
        <v>30455.091976279804</v>
      </c>
    </row>
    <row r="53" spans="2:18" x14ac:dyDescent="0.3">
      <c r="B53" s="157" t="s">
        <v>79</v>
      </c>
      <c r="C53" s="97" t="s">
        <v>313</v>
      </c>
      <c r="D53" s="9">
        <v>1079.4010000000001</v>
      </c>
      <c r="E53" s="9">
        <v>299.99799999999999</v>
      </c>
      <c r="F53" s="9">
        <v>733.95399999999995</v>
      </c>
      <c r="G53" s="9">
        <v>500.62400000000002</v>
      </c>
      <c r="H53" s="9">
        <v>522.36400000000003</v>
      </c>
      <c r="I53" s="9">
        <v>614.06200000000001</v>
      </c>
      <c r="J53" s="9">
        <v>463.16500000000002</v>
      </c>
      <c r="L53" s="9">
        <f t="shared" ref="L53:L60" si="49">IFERROR(D53/L$3*1000,0)</f>
        <v>3635.4484523929809</v>
      </c>
      <c r="M53" s="9">
        <f t="shared" ref="M53:M60" si="50">IFERROR(E53/M$3*1000,0)</f>
        <v>952.70729461081646</v>
      </c>
      <c r="N53" s="9">
        <f t="shared" ref="N53:N60" si="51">IFERROR(F53/N$3*1000,0)</f>
        <v>2344.0022994379151</v>
      </c>
      <c r="O53" s="9">
        <f t="shared" ref="O53:O60" si="52">IFERROR(G53/O$3*1000,0)</f>
        <v>1609.6199601311814</v>
      </c>
      <c r="P53" s="9">
        <f t="shared" ref="P53:P60" si="53">IFERROR(H53/P$3*1000,0)</f>
        <v>1684.2845166698912</v>
      </c>
      <c r="Q53" s="9">
        <f t="shared" si="48"/>
        <v>1909.9312618581073</v>
      </c>
      <c r="R53" s="9">
        <f t="shared" si="48"/>
        <v>1401.3221590221469</v>
      </c>
    </row>
    <row r="54" spans="2:18" x14ac:dyDescent="0.3">
      <c r="B54" s="157" t="s">
        <v>80</v>
      </c>
      <c r="C54" s="157" t="s">
        <v>180</v>
      </c>
      <c r="D54" s="17">
        <v>0</v>
      </c>
      <c r="E54" s="17">
        <v>0</v>
      </c>
      <c r="F54" s="17">
        <v>0</v>
      </c>
      <c r="G54" s="9">
        <v>2643.366</v>
      </c>
      <c r="H54" s="9">
        <v>24.731999999999999</v>
      </c>
      <c r="I54" s="9">
        <v>982.68299999999999</v>
      </c>
      <c r="J54" s="9">
        <v>2215.114</v>
      </c>
      <c r="L54" s="9">
        <f t="shared" si="49"/>
        <v>0</v>
      </c>
      <c r="M54" s="9">
        <f t="shared" si="50"/>
        <v>0</v>
      </c>
      <c r="N54" s="9">
        <f t="shared" si="51"/>
        <v>0</v>
      </c>
      <c r="O54" s="9">
        <f t="shared" si="52"/>
        <v>8499.0225708957623</v>
      </c>
      <c r="P54" s="9">
        <f t="shared" si="53"/>
        <v>79.744631456761454</v>
      </c>
      <c r="Q54" s="9">
        <f t="shared" si="48"/>
        <v>3056.4616963702533</v>
      </c>
      <c r="R54" s="9">
        <f t="shared" si="48"/>
        <v>6701.9060873774661</v>
      </c>
    </row>
    <row r="55" spans="2:18" ht="15.6" x14ac:dyDescent="0.3">
      <c r="B55" s="219" t="s">
        <v>339</v>
      </c>
      <c r="C55" s="220" t="s">
        <v>340</v>
      </c>
      <c r="D55" s="17"/>
      <c r="E55" s="17"/>
      <c r="F55" s="17"/>
      <c r="G55" s="9"/>
      <c r="H55" s="9"/>
      <c r="I55" s="9"/>
      <c r="J55" s="9">
        <v>108.55500000000001</v>
      </c>
      <c r="L55" s="9"/>
      <c r="M55" s="9"/>
      <c r="N55" s="9"/>
      <c r="O55" s="9"/>
      <c r="P55" s="9"/>
      <c r="Q55" s="9"/>
      <c r="R55" s="9"/>
    </row>
    <row r="56" spans="2:18" outlineLevel="1" x14ac:dyDescent="0.3">
      <c r="B56" s="157" t="s">
        <v>81</v>
      </c>
      <c r="C56" s="157" t="s">
        <v>82</v>
      </c>
      <c r="D56" s="9">
        <v>872.524</v>
      </c>
      <c r="E56" s="9">
        <v>958.49300000000005</v>
      </c>
      <c r="F56" s="9">
        <v>1596.1759999999999</v>
      </c>
      <c r="G56" s="9">
        <v>2533.9160000000002</v>
      </c>
      <c r="H56" s="9">
        <v>2092.355</v>
      </c>
      <c r="I56" s="9">
        <v>2419.6129999999998</v>
      </c>
      <c r="J56" s="9">
        <v>1963.934</v>
      </c>
      <c r="K56" s="12">
        <v>1000</v>
      </c>
      <c r="L56" s="9">
        <f t="shared" si="49"/>
        <v>2938.6817554140985</v>
      </c>
      <c r="M56" s="9">
        <f t="shared" si="50"/>
        <v>3043.8978690971453</v>
      </c>
      <c r="N56" s="9">
        <f t="shared" si="51"/>
        <v>5097.649463464486</v>
      </c>
      <c r="O56" s="9">
        <f t="shared" si="52"/>
        <v>8147.1159410970358</v>
      </c>
      <c r="P56" s="9">
        <f t="shared" si="53"/>
        <v>6746.4854581801774</v>
      </c>
      <c r="Q56" s="9">
        <f t="shared" si="48"/>
        <v>7525.7783583714345</v>
      </c>
      <c r="R56" s="9">
        <f t="shared" si="48"/>
        <v>5941.9520755173671</v>
      </c>
    </row>
    <row r="57" spans="2:18" outlineLevel="1" x14ac:dyDescent="0.3">
      <c r="B57" s="157" t="s">
        <v>83</v>
      </c>
      <c r="C57" s="157" t="s">
        <v>84</v>
      </c>
      <c r="D57" s="9">
        <v>0.4</v>
      </c>
      <c r="E57" s="9">
        <v>0</v>
      </c>
      <c r="F57" s="9">
        <v>102.04600000000001</v>
      </c>
      <c r="G57" s="9">
        <v>41.305999999999997</v>
      </c>
      <c r="H57" s="9">
        <v>305.70400000000001</v>
      </c>
      <c r="I57" s="9">
        <v>602.53300000000002</v>
      </c>
      <c r="J57" s="9">
        <v>1104.3689999999999</v>
      </c>
      <c r="L57" s="9">
        <f t="shared" si="49"/>
        <v>1.347209592132296</v>
      </c>
      <c r="M57" s="9">
        <f t="shared" si="50"/>
        <v>0</v>
      </c>
      <c r="N57" s="9">
        <f t="shared" si="51"/>
        <v>325.90061318344402</v>
      </c>
      <c r="O57" s="9">
        <f t="shared" si="52"/>
        <v>132.80817953829336</v>
      </c>
      <c r="P57" s="9">
        <f t="shared" si="53"/>
        <v>985.69678209840731</v>
      </c>
      <c r="Q57" s="9">
        <f t="shared" si="48"/>
        <v>1874.0723461167618</v>
      </c>
      <c r="R57" s="9">
        <f t="shared" si="48"/>
        <v>3341.3076364516519</v>
      </c>
    </row>
    <row r="58" spans="2:18" outlineLevel="1" x14ac:dyDescent="0.3">
      <c r="B58" s="157" t="s">
        <v>85</v>
      </c>
      <c r="C58" s="157" t="s">
        <v>86</v>
      </c>
      <c r="D58" s="9">
        <v>294.46600000000001</v>
      </c>
      <c r="E58" s="9">
        <v>266.428</v>
      </c>
      <c r="F58" s="9">
        <v>1923.877</v>
      </c>
      <c r="G58" s="9">
        <v>1468.8589999999999</v>
      </c>
      <c r="H58" s="9">
        <v>1683.2329999999999</v>
      </c>
      <c r="I58" s="9">
        <v>3584.8510000000001</v>
      </c>
      <c r="J58" s="9">
        <v>3654.71</v>
      </c>
      <c r="L58" s="9">
        <f t="shared" si="49"/>
        <v>991.76854939207158</v>
      </c>
      <c r="M58" s="9">
        <f t="shared" si="50"/>
        <v>846.09863761948623</v>
      </c>
      <c r="N58" s="9">
        <f t="shared" si="51"/>
        <v>6144.2162749105773</v>
      </c>
      <c r="O58" s="9">
        <f t="shared" si="52"/>
        <v>4722.7155809915757</v>
      </c>
      <c r="P58" s="9">
        <f t="shared" si="53"/>
        <v>5427.3328174372864</v>
      </c>
      <c r="Q58" s="9">
        <f t="shared" si="48"/>
        <v>11150.045099685858</v>
      </c>
      <c r="R58" s="9">
        <f t="shared" si="48"/>
        <v>11057.454919520756</v>
      </c>
    </row>
    <row r="59" spans="2:18" outlineLevel="1" x14ac:dyDescent="0.3">
      <c r="B59" s="157" t="s">
        <v>87</v>
      </c>
      <c r="C59" s="157" t="s">
        <v>88</v>
      </c>
      <c r="D59" s="9">
        <v>0</v>
      </c>
      <c r="E59" s="9">
        <v>1.367</v>
      </c>
      <c r="F59" s="9">
        <v>4.7830000000000004</v>
      </c>
      <c r="G59" s="9">
        <v>9.0730000000000004</v>
      </c>
      <c r="H59" s="9">
        <v>9.8450000000000006</v>
      </c>
      <c r="I59" s="9">
        <v>15.425000000000001</v>
      </c>
      <c r="J59" s="9">
        <v>58.207000000000001</v>
      </c>
      <c r="L59" s="9">
        <f t="shared" si="49"/>
        <v>0</v>
      </c>
      <c r="M59" s="9">
        <f t="shared" si="50"/>
        <v>4.3411985137667122</v>
      </c>
      <c r="N59" s="9">
        <f t="shared" si="51"/>
        <v>15.27529381706694</v>
      </c>
      <c r="O59" s="9">
        <f t="shared" si="52"/>
        <v>29.171757443251241</v>
      </c>
      <c r="P59" s="9">
        <f t="shared" si="53"/>
        <v>31.743728638679311</v>
      </c>
      <c r="Q59" s="9">
        <f t="shared" si="48"/>
        <v>47.976734782743932</v>
      </c>
      <c r="R59" s="9">
        <f t="shared" si="48"/>
        <v>176.10734600024205</v>
      </c>
    </row>
    <row r="60" spans="2:18" outlineLevel="1" x14ac:dyDescent="0.3">
      <c r="B60" s="157" t="s">
        <v>89</v>
      </c>
      <c r="C60" s="157" t="s">
        <v>90</v>
      </c>
      <c r="D60" s="9">
        <v>289.72199999999998</v>
      </c>
      <c r="E60" s="9">
        <v>371.80799999999999</v>
      </c>
      <c r="F60" s="9">
        <v>0</v>
      </c>
      <c r="G60" s="9">
        <v>106.75</v>
      </c>
      <c r="H60" s="9">
        <v>639.60199999999998</v>
      </c>
      <c r="I60" s="9">
        <v>364.73</v>
      </c>
      <c r="J60" s="9">
        <v>497.96300000000002</v>
      </c>
      <c r="L60" s="9">
        <f t="shared" si="49"/>
        <v>975.79064362938254</v>
      </c>
      <c r="M60" s="9">
        <f t="shared" si="50"/>
        <v>1180.7551843500905</v>
      </c>
      <c r="N60" s="9">
        <f t="shared" si="51"/>
        <v>0</v>
      </c>
      <c r="O60" s="9">
        <f t="shared" si="52"/>
        <v>343.22551604398433</v>
      </c>
      <c r="P60" s="9">
        <f t="shared" si="53"/>
        <v>2062.3008963693815</v>
      </c>
      <c r="Q60" s="9">
        <f t="shared" si="48"/>
        <v>1134.4281670865603</v>
      </c>
      <c r="R60" s="9">
        <f t="shared" si="48"/>
        <v>1506.6047440396953</v>
      </c>
    </row>
    <row r="61" spans="2:18" ht="15" thickBot="1" x14ac:dyDescent="0.35">
      <c r="B61" s="157"/>
      <c r="C61" s="157"/>
      <c r="D61" s="9"/>
      <c r="E61" s="9"/>
      <c r="F61" s="9"/>
      <c r="G61" s="9"/>
      <c r="H61" s="9"/>
      <c r="I61" s="9"/>
      <c r="J61" s="9"/>
      <c r="L61" s="9"/>
      <c r="M61" s="9"/>
      <c r="N61" s="9"/>
      <c r="O61" s="9"/>
      <c r="P61" s="9"/>
      <c r="Q61" s="9"/>
      <c r="R61" s="9"/>
    </row>
    <row r="62" spans="2:18" ht="15" thickBot="1" x14ac:dyDescent="0.35">
      <c r="B62" s="159" t="s">
        <v>91</v>
      </c>
      <c r="C62" s="159" t="s">
        <v>92</v>
      </c>
      <c r="D62" s="14">
        <f t="shared" ref="D62:F62" si="54">+D52+D43+D32</f>
        <v>8536.601999999999</v>
      </c>
      <c r="E62" s="14">
        <f t="shared" si="54"/>
        <v>9788.3069999999989</v>
      </c>
      <c r="F62" s="14">
        <f t="shared" si="54"/>
        <v>13939.216</v>
      </c>
      <c r="G62" s="14">
        <f>+G52+G43+G32</f>
        <v>16147.832999999999</v>
      </c>
      <c r="H62" s="14">
        <f>+H52+H43+H32</f>
        <v>16652.12</v>
      </c>
      <c r="I62" s="14">
        <f>+I52+I43+I32</f>
        <v>22859.096999999998</v>
      </c>
      <c r="J62" s="14">
        <f>+J52+J43+J32</f>
        <v>37574.506999999998</v>
      </c>
      <c r="L62" s="14">
        <f t="shared" ref="L62:N62" si="55">+L52+L43+L32</f>
        <v>28751.480246539351</v>
      </c>
      <c r="M62" s="14">
        <f t="shared" si="55"/>
        <v>31084.845501603737</v>
      </c>
      <c r="N62" s="14">
        <f t="shared" si="55"/>
        <v>44517.169136433316</v>
      </c>
      <c r="O62" s="14">
        <f>+O52+O43+O32</f>
        <v>51918.953765031183</v>
      </c>
      <c r="P62" s="14">
        <f>+P52+P43+P32</f>
        <v>53692.26800799639</v>
      </c>
      <c r="Q62" s="14">
        <f>+Q52+Q43+Q32</f>
        <v>71099.17887468508</v>
      </c>
      <c r="R62" s="14">
        <f>+R52+R43+R32</f>
        <v>113683.00556698538</v>
      </c>
    </row>
    <row r="63" spans="2:18" x14ac:dyDescent="0.3">
      <c r="B63" s="8"/>
      <c r="C63" s="8"/>
      <c r="D63" s="17"/>
      <c r="E63" s="17"/>
      <c r="F63" s="18"/>
      <c r="G63" s="18"/>
      <c r="H63" s="18"/>
      <c r="I63" s="18"/>
      <c r="J63" s="18"/>
    </row>
    <row r="64" spans="2:18" x14ac:dyDescent="0.3">
      <c r="B64" s="8"/>
      <c r="C64" s="8"/>
      <c r="D64" s="18">
        <f>+D62-D30</f>
        <v>0</v>
      </c>
      <c r="E64" s="18">
        <f t="shared" ref="E64:Q64" si="56">+E62-E30</f>
        <v>0</v>
      </c>
      <c r="F64" s="18">
        <f t="shared" si="56"/>
        <v>0</v>
      </c>
      <c r="G64" s="18">
        <f t="shared" si="56"/>
        <v>0</v>
      </c>
      <c r="H64" s="18">
        <f t="shared" si="56"/>
        <v>0</v>
      </c>
      <c r="I64" s="18">
        <f t="shared" si="56"/>
        <v>-1.0000000002037268E-3</v>
      </c>
      <c r="J64" s="18"/>
      <c r="K64" s="18"/>
      <c r="L64" s="18">
        <f t="shared" si="56"/>
        <v>0</v>
      </c>
      <c r="M64" s="18">
        <f t="shared" si="56"/>
        <v>0</v>
      </c>
      <c r="N64" s="18">
        <f t="shared" si="56"/>
        <v>0</v>
      </c>
      <c r="O64" s="18">
        <f t="shared" si="56"/>
        <v>0</v>
      </c>
      <c r="P64" s="18">
        <f t="shared" si="56"/>
        <v>0</v>
      </c>
      <c r="Q64" s="18">
        <f t="shared" si="56"/>
        <v>-3.1103231740416959E-3</v>
      </c>
    </row>
    <row r="65" spans="1:18" x14ac:dyDescent="0.3">
      <c r="B65" s="8"/>
      <c r="C65" s="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8" x14ac:dyDescent="0.3">
      <c r="A66" s="1" t="s">
        <v>273</v>
      </c>
      <c r="B66" s="8" t="s">
        <v>168</v>
      </c>
      <c r="C66" s="8"/>
      <c r="D66" s="18"/>
      <c r="E66" s="18"/>
      <c r="F66" s="18"/>
      <c r="G66" s="18"/>
      <c r="H66" s="18"/>
      <c r="I66" s="18"/>
      <c r="J66" s="18"/>
      <c r="K66" s="18"/>
      <c r="L66" s="42">
        <v>296.92</v>
      </c>
      <c r="M66" s="42">
        <v>308.66000000000003</v>
      </c>
      <c r="N66" s="42">
        <v>309.89999999999998</v>
      </c>
      <c r="O66" s="42">
        <v>311.45999999999998</v>
      </c>
      <c r="P66" s="42">
        <v>309.20999999999998</v>
      </c>
      <c r="Q66" s="42">
        <v>318.87</v>
      </c>
      <c r="R66" s="42">
        <v>325.35000000000002</v>
      </c>
    </row>
    <row r="67" spans="1:18" x14ac:dyDescent="0.3">
      <c r="B67" s="3" t="s">
        <v>166</v>
      </c>
      <c r="C67" s="3" t="s">
        <v>282</v>
      </c>
      <c r="G67" s="3">
        <v>2016</v>
      </c>
      <c r="H67" s="3">
        <v>2017</v>
      </c>
      <c r="I67" s="3">
        <v>2018</v>
      </c>
      <c r="J67" s="3">
        <v>2019</v>
      </c>
      <c r="K67" s="3">
        <v>2020</v>
      </c>
      <c r="O67" s="3">
        <v>2016</v>
      </c>
      <c r="P67" s="3">
        <v>2017</v>
      </c>
      <c r="Q67" s="3">
        <v>2018</v>
      </c>
      <c r="R67" s="3">
        <v>2019</v>
      </c>
    </row>
    <row r="68" spans="1:18" x14ac:dyDescent="0.3">
      <c r="B68" s="3"/>
      <c r="C68" s="3" t="s">
        <v>167</v>
      </c>
      <c r="G68" s="3" t="s">
        <v>3</v>
      </c>
      <c r="H68" s="3" t="s">
        <v>3</v>
      </c>
      <c r="I68" s="3" t="s">
        <v>3</v>
      </c>
      <c r="J68" s="3" t="s">
        <v>3</v>
      </c>
      <c r="K68" s="3" t="s">
        <v>3</v>
      </c>
      <c r="O68" s="3" t="s">
        <v>3</v>
      </c>
      <c r="P68" s="3" t="s">
        <v>3</v>
      </c>
      <c r="Q68" s="3" t="s">
        <v>3</v>
      </c>
      <c r="R68" s="3" t="s">
        <v>3</v>
      </c>
    </row>
    <row r="69" spans="1:18" x14ac:dyDescent="0.3">
      <c r="B69" s="21" t="s">
        <v>98</v>
      </c>
      <c r="C69" s="21" t="s">
        <v>142</v>
      </c>
      <c r="G69" s="22">
        <v>13948.218707</v>
      </c>
      <c r="H69" s="22">
        <v>18389.28427</v>
      </c>
      <c r="I69" s="22">
        <v>18685.767</v>
      </c>
      <c r="J69" s="22">
        <v>25573.350251</v>
      </c>
      <c r="K69" s="22">
        <v>32981</v>
      </c>
      <c r="O69" s="22">
        <f t="shared" ref="O69:O78" si="57">+G69/O$66*1000</f>
        <v>44783.338813972907</v>
      </c>
      <c r="P69" s="22">
        <f t="shared" ref="P69:P78" si="58">+H69/P$66*1000</f>
        <v>59471.829080560143</v>
      </c>
      <c r="Q69" s="22">
        <f t="shared" ref="Q69:R78" si="59">+I69/Q$66*1000</f>
        <v>58599.952958886061</v>
      </c>
      <c r="R69" s="22">
        <f t="shared" si="59"/>
        <v>78602.58260642385</v>
      </c>
    </row>
    <row r="70" spans="1:18" x14ac:dyDescent="0.3">
      <c r="B70" s="23" t="s">
        <v>170</v>
      </c>
      <c r="C70" s="23" t="s">
        <v>143</v>
      </c>
      <c r="G70" s="24">
        <v>-9249.8197920000002</v>
      </c>
      <c r="H70" s="24">
        <v>-14606.384983</v>
      </c>
      <c r="I70" s="24">
        <v>-14264.353999999999</v>
      </c>
      <c r="J70" s="24">
        <v>-18211.867753999999</v>
      </c>
      <c r="K70" s="24">
        <v>-22841</v>
      </c>
      <c r="O70" s="24">
        <f t="shared" si="57"/>
        <v>-29698.259140820654</v>
      </c>
      <c r="P70" s="24">
        <f t="shared" si="58"/>
        <v>-47237.750988001688</v>
      </c>
      <c r="Q70" s="24">
        <f t="shared" si="59"/>
        <v>-44734.07344685922</v>
      </c>
      <c r="R70" s="24">
        <f t="shared" si="59"/>
        <v>-55976.234067926838</v>
      </c>
    </row>
    <row r="71" spans="1:18" x14ac:dyDescent="0.3">
      <c r="B71" s="25" t="s">
        <v>144</v>
      </c>
      <c r="C71" s="25" t="s">
        <v>145</v>
      </c>
      <c r="G71" s="26">
        <v>-2315.8180090000001</v>
      </c>
      <c r="H71" s="26">
        <v>-2153.922556</v>
      </c>
      <c r="I71" s="26">
        <v>-2506.5340000000001</v>
      </c>
      <c r="J71" s="26">
        <v>-2858.1641120000004</v>
      </c>
      <c r="K71" s="26">
        <v>-3489</v>
      </c>
      <c r="O71" s="26">
        <f t="shared" si="57"/>
        <v>-7435.3625152507557</v>
      </c>
      <c r="P71" s="26">
        <f t="shared" si="58"/>
        <v>-6965.8890592154212</v>
      </c>
      <c r="Q71" s="26">
        <f t="shared" si="59"/>
        <v>-7860.676764825791</v>
      </c>
      <c r="R71" s="26">
        <f t="shared" si="59"/>
        <v>-8784.8904625787618</v>
      </c>
    </row>
    <row r="72" spans="1:18" x14ac:dyDescent="0.3">
      <c r="B72" s="25" t="s">
        <v>146</v>
      </c>
      <c r="C72" s="25" t="s">
        <v>147</v>
      </c>
      <c r="G72" s="26">
        <v>-601.331996</v>
      </c>
      <c r="H72" s="26">
        <v>-571.66508499999998</v>
      </c>
      <c r="I72" s="26">
        <v>-729.81799999999998</v>
      </c>
      <c r="J72" s="26">
        <v>-2045.7517579999999</v>
      </c>
      <c r="K72" s="26">
        <v>-2947</v>
      </c>
      <c r="O72" s="26">
        <f t="shared" si="57"/>
        <v>-1930.6877159185772</v>
      </c>
      <c r="P72" s="26">
        <f t="shared" si="58"/>
        <v>-1848.7923579444391</v>
      </c>
      <c r="Q72" s="26">
        <f t="shared" si="59"/>
        <v>-2288.7634459183996</v>
      </c>
      <c r="R72" s="26">
        <f t="shared" si="59"/>
        <v>-6287.849263869678</v>
      </c>
    </row>
    <row r="73" spans="1:18" x14ac:dyDescent="0.3">
      <c r="B73" s="25" t="s">
        <v>108</v>
      </c>
      <c r="C73" s="25" t="s">
        <v>148</v>
      </c>
      <c r="G73" s="26">
        <v>-68.911270999999999</v>
      </c>
      <c r="H73" s="26">
        <v>305.97678999999999</v>
      </c>
      <c r="I73" s="26">
        <v>-146.83500000000001</v>
      </c>
      <c r="J73" s="26">
        <v>-804.28131999999994</v>
      </c>
      <c r="K73" s="26">
        <v>-1139</v>
      </c>
      <c r="O73" s="26">
        <f t="shared" si="57"/>
        <v>-221.25239517112951</v>
      </c>
      <c r="P73" s="26">
        <f t="shared" si="58"/>
        <v>989.54364347854221</v>
      </c>
      <c r="Q73" s="26">
        <f t="shared" si="59"/>
        <v>-460.48546429579454</v>
      </c>
      <c r="R73" s="26">
        <f t="shared" si="59"/>
        <v>-2472.0495466420775</v>
      </c>
    </row>
    <row r="74" spans="1:18" x14ac:dyDescent="0.3">
      <c r="B74" s="25" t="s">
        <v>149</v>
      </c>
      <c r="C74" s="25" t="s">
        <v>150</v>
      </c>
      <c r="G74" s="26">
        <v>-228.953</v>
      </c>
      <c r="H74" s="26">
        <v>-1.35</v>
      </c>
      <c r="I74" s="26">
        <v>0</v>
      </c>
      <c r="J74" s="26">
        <v>0</v>
      </c>
      <c r="K74" s="26">
        <v>0</v>
      </c>
      <c r="O74" s="26">
        <f t="shared" si="57"/>
        <v>-735.09599948629045</v>
      </c>
      <c r="P74" s="26">
        <f t="shared" si="58"/>
        <v>-4.365964878238092</v>
      </c>
      <c r="Q74" s="26">
        <f t="shared" si="59"/>
        <v>0</v>
      </c>
      <c r="R74" s="26">
        <f t="shared" si="59"/>
        <v>0</v>
      </c>
    </row>
    <row r="75" spans="1:18" x14ac:dyDescent="0.3">
      <c r="B75" s="27" t="s">
        <v>151</v>
      </c>
      <c r="C75" s="27" t="s">
        <v>152</v>
      </c>
      <c r="G75" s="28">
        <f>SUM(G69:G74)</f>
        <v>1483.3846389999999</v>
      </c>
      <c r="H75" s="28">
        <f>SUM(H69:H74)</f>
        <v>1361.9384360000001</v>
      </c>
      <c r="I75" s="83">
        <f>SUM(I69:I74)</f>
        <v>1038.2260000000003</v>
      </c>
      <c r="J75" s="83">
        <f>SUM(J69:J74)</f>
        <v>1653.2853070000006</v>
      </c>
      <c r="K75" s="83">
        <f>SUM(K69:K74)</f>
        <v>2565</v>
      </c>
      <c r="O75" s="28">
        <f t="shared" si="57"/>
        <v>4762.6810473254991</v>
      </c>
      <c r="P75" s="28">
        <f t="shared" si="58"/>
        <v>4404.5743539989016</v>
      </c>
      <c r="Q75" s="28">
        <f t="shared" si="59"/>
        <v>3255.953836986861</v>
      </c>
      <c r="R75" s="84">
        <f t="shared" si="59"/>
        <v>5081.5592654064867</v>
      </c>
    </row>
    <row r="76" spans="1:18" x14ac:dyDescent="0.3">
      <c r="B76" s="25" t="s">
        <v>153</v>
      </c>
      <c r="C76" s="25" t="s">
        <v>154</v>
      </c>
      <c r="G76" s="26">
        <v>-455.72423900000001</v>
      </c>
      <c r="H76" s="26">
        <v>-329.10903100000002</v>
      </c>
      <c r="I76" s="26">
        <v>-232.333</v>
      </c>
      <c r="J76" s="26">
        <v>-943.82029</v>
      </c>
      <c r="K76" s="26">
        <v>-1090</v>
      </c>
      <c r="O76" s="26">
        <f t="shared" si="57"/>
        <v>-1463.187051306749</v>
      </c>
      <c r="P76" s="26">
        <f t="shared" si="58"/>
        <v>-1064.3544225607193</v>
      </c>
      <c r="Q76" s="26">
        <f t="shared" si="59"/>
        <v>-728.61354156866435</v>
      </c>
      <c r="R76" s="26">
        <f t="shared" si="59"/>
        <v>-2900.9383433225753</v>
      </c>
    </row>
    <row r="77" spans="1:18" x14ac:dyDescent="0.3">
      <c r="B77" s="29" t="s">
        <v>120</v>
      </c>
      <c r="C77" s="29" t="s">
        <v>155</v>
      </c>
      <c r="G77" s="28">
        <f>+G75+G76</f>
        <v>1027.6603999999998</v>
      </c>
      <c r="H77" s="28">
        <f>+H75+H76</f>
        <v>1032.8294050000002</v>
      </c>
      <c r="I77" s="28">
        <f>+I75+I76</f>
        <v>805.89300000000037</v>
      </c>
      <c r="J77" s="84">
        <f>+J75+J76</f>
        <v>709.46501700000056</v>
      </c>
      <c r="K77" s="84">
        <f>+K75+K76</f>
        <v>1475</v>
      </c>
      <c r="O77" s="28">
        <f t="shared" si="57"/>
        <v>3299.4939960187498</v>
      </c>
      <c r="P77" s="28">
        <f t="shared" si="58"/>
        <v>3340.2199314381819</v>
      </c>
      <c r="Q77" s="28">
        <f t="shared" si="59"/>
        <v>2527.3402954181965</v>
      </c>
      <c r="R77" s="84">
        <f t="shared" si="59"/>
        <v>2180.6209220839114</v>
      </c>
    </row>
    <row r="78" spans="1:18" x14ac:dyDescent="0.3">
      <c r="B78" s="25" t="s">
        <v>122</v>
      </c>
      <c r="C78" s="25" t="s">
        <v>156</v>
      </c>
      <c r="G78" s="26">
        <v>-204.73514900000001</v>
      </c>
      <c r="H78" s="26">
        <v>-117.87471600000001</v>
      </c>
      <c r="I78" s="26">
        <v>-275.81400000000002</v>
      </c>
      <c r="J78" s="26">
        <v>-435.83447100000001</v>
      </c>
      <c r="K78" s="26">
        <v>-884</v>
      </c>
      <c r="O78" s="26">
        <f t="shared" si="57"/>
        <v>-657.34010466833627</v>
      </c>
      <c r="P78" s="26">
        <f t="shared" si="58"/>
        <v>-381.21249636169597</v>
      </c>
      <c r="Q78" s="26">
        <f t="shared" si="59"/>
        <v>-864.97318656505797</v>
      </c>
      <c r="R78" s="26">
        <f t="shared" si="59"/>
        <v>-1339.5865099124021</v>
      </c>
    </row>
    <row r="79" spans="1:18" x14ac:dyDescent="0.3">
      <c r="B79" s="82" t="s">
        <v>280</v>
      </c>
      <c r="C79" s="38" t="s">
        <v>281</v>
      </c>
      <c r="G79" s="26"/>
      <c r="H79" s="26">
        <v>-136</v>
      </c>
      <c r="I79" s="26">
        <v>-212</v>
      </c>
      <c r="J79" s="26">
        <f>-301.451-46.233</f>
        <v>-347.68400000000003</v>
      </c>
      <c r="K79" s="26">
        <v>-480</v>
      </c>
      <c r="O79" s="26"/>
      <c r="P79" s="26">
        <f t="shared" ref="P79" si="60">+H79/P$66*1000</f>
        <v>-439.83053588176324</v>
      </c>
      <c r="Q79" s="26">
        <f t="shared" ref="Q79" si="61">+I79/Q$66*1000</f>
        <v>-664.84774359456833</v>
      </c>
      <c r="R79" s="26">
        <f t="shared" ref="R79" si="62">+J79/R$66*1000</f>
        <v>-1068.6460734593516</v>
      </c>
    </row>
    <row r="80" spans="1:18" x14ac:dyDescent="0.3">
      <c r="B80" s="29" t="s">
        <v>124</v>
      </c>
      <c r="C80" s="29" t="s">
        <v>157</v>
      </c>
      <c r="G80" s="28">
        <f>+G77+G78</f>
        <v>822.92525099999978</v>
      </c>
      <c r="H80" s="28">
        <f>+H77+H78</f>
        <v>914.95468900000014</v>
      </c>
      <c r="I80" s="28">
        <f>+I77+I78</f>
        <v>530.07900000000041</v>
      </c>
      <c r="J80" s="84">
        <f>+J77+J78</f>
        <v>273.63054600000055</v>
      </c>
      <c r="K80" s="84">
        <f>+K77+K78</f>
        <v>591</v>
      </c>
      <c r="O80" s="28">
        <f t="shared" ref="O80:R87" si="63">+G80/O$66*1000</f>
        <v>2642.1538913504132</v>
      </c>
      <c r="P80" s="28">
        <f t="shared" si="63"/>
        <v>2959.0074350764862</v>
      </c>
      <c r="Q80" s="28">
        <f t="shared" si="63"/>
        <v>1662.3671088531389</v>
      </c>
      <c r="R80" s="84">
        <f t="shared" si="63"/>
        <v>841.03441217150919</v>
      </c>
    </row>
    <row r="81" spans="2:18" x14ac:dyDescent="0.3">
      <c r="B81" s="31" t="s">
        <v>126</v>
      </c>
      <c r="C81" s="25" t="s">
        <v>158</v>
      </c>
      <c r="G81" s="26">
        <v>728.10356541538465</v>
      </c>
      <c r="H81" s="26">
        <v>912.52596700000004</v>
      </c>
      <c r="I81" s="26">
        <v>511.21800000000002</v>
      </c>
      <c r="J81" s="26">
        <v>270.71654599999812</v>
      </c>
      <c r="K81" s="26"/>
      <c r="O81" s="26">
        <f t="shared" si="63"/>
        <v>2337.711312577489</v>
      </c>
      <c r="P81" s="26">
        <f t="shared" si="63"/>
        <v>2951.1528314090751</v>
      </c>
      <c r="Q81" s="26">
        <f t="shared" si="63"/>
        <v>1603.2176121930568</v>
      </c>
      <c r="R81" s="26">
        <f t="shared" si="63"/>
        <v>832.07790379590631</v>
      </c>
    </row>
    <row r="82" spans="2:18" x14ac:dyDescent="0.3">
      <c r="B82" s="32" t="s">
        <v>159</v>
      </c>
      <c r="C82" s="32" t="s">
        <v>160</v>
      </c>
      <c r="G82" s="33">
        <v>94.821685584615366</v>
      </c>
      <c r="H82" s="33">
        <v>2.428722</v>
      </c>
      <c r="I82" s="33">
        <v>18.861000000000001</v>
      </c>
      <c r="J82" s="33">
        <v>2.9140000000000001</v>
      </c>
      <c r="K82" s="33"/>
      <c r="O82" s="33">
        <f t="shared" si="63"/>
        <v>304.44257877292546</v>
      </c>
      <c r="P82" s="33">
        <f t="shared" si="63"/>
        <v>7.8546036674104984</v>
      </c>
      <c r="Q82" s="33">
        <f t="shared" si="63"/>
        <v>59.149496660080906</v>
      </c>
      <c r="R82" s="33">
        <f t="shared" si="63"/>
        <v>8.9565083755955133</v>
      </c>
    </row>
    <row r="83" spans="2:18" ht="15" thickBot="1" x14ac:dyDescent="0.35">
      <c r="B83" s="25" t="s">
        <v>161</v>
      </c>
      <c r="C83" s="25" t="s">
        <v>162</v>
      </c>
      <c r="G83" s="26">
        <v>547.51092714919992</v>
      </c>
      <c r="H83" s="26">
        <v>-479.54411900000002</v>
      </c>
      <c r="I83" s="26">
        <v>-259.63200000000001</v>
      </c>
      <c r="J83" s="26">
        <v>-1415.65</v>
      </c>
      <c r="K83" s="26">
        <v>2114</v>
      </c>
      <c r="O83" s="26">
        <f t="shared" si="63"/>
        <v>1757.8852088525009</v>
      </c>
      <c r="P83" s="26">
        <f t="shared" si="63"/>
        <v>-1550.8687267552798</v>
      </c>
      <c r="Q83" s="26">
        <f t="shared" si="63"/>
        <v>-814.22523285351406</v>
      </c>
      <c r="R83" s="26">
        <f t="shared" si="63"/>
        <v>-4351.1602889196256</v>
      </c>
    </row>
    <row r="84" spans="2:18" ht="15.6" thickTop="1" thickBot="1" x14ac:dyDescent="0.35">
      <c r="B84" s="34" t="s">
        <v>133</v>
      </c>
      <c r="C84" s="34" t="s">
        <v>163</v>
      </c>
      <c r="G84" s="35">
        <f>+G80+G83</f>
        <v>1370.4361781491998</v>
      </c>
      <c r="H84" s="35">
        <f>+H80+H83</f>
        <v>435.41057000000012</v>
      </c>
      <c r="I84" s="35">
        <f>+I83+I80</f>
        <v>270.4470000000004</v>
      </c>
      <c r="J84" s="85">
        <f>+J83+J80</f>
        <v>-1142.0194539999995</v>
      </c>
      <c r="K84" s="85">
        <f>+K83+K80</f>
        <v>2705</v>
      </c>
      <c r="O84" s="35">
        <f t="shared" si="63"/>
        <v>4400.0391002029146</v>
      </c>
      <c r="P84" s="35">
        <f t="shared" si="63"/>
        <v>1408.1387083212062</v>
      </c>
      <c r="Q84" s="35">
        <f t="shared" si="63"/>
        <v>848.14187599962486</v>
      </c>
      <c r="R84" s="85">
        <f t="shared" si="63"/>
        <v>-3510.1258767481158</v>
      </c>
    </row>
    <row r="85" spans="2:18" ht="15" thickTop="1" x14ac:dyDescent="0.3">
      <c r="B85" s="25" t="s">
        <v>126</v>
      </c>
      <c r="C85" s="25" t="s">
        <v>158</v>
      </c>
      <c r="G85" s="26">
        <v>1275.6144925645845</v>
      </c>
      <c r="H85" s="26">
        <v>432.98184800000001</v>
      </c>
      <c r="I85" s="26">
        <v>251.58600000000001</v>
      </c>
      <c r="J85" s="26">
        <v>251.58600000000001</v>
      </c>
      <c r="K85" s="26"/>
      <c r="O85" s="26">
        <f t="shared" si="63"/>
        <v>4095.5965214299895</v>
      </c>
      <c r="P85" s="26">
        <f t="shared" si="63"/>
        <v>1400.2841046537953</v>
      </c>
      <c r="Q85" s="26">
        <f t="shared" si="63"/>
        <v>788.99237933954282</v>
      </c>
      <c r="R85" s="26">
        <f t="shared" si="63"/>
        <v>773.27800829875514</v>
      </c>
    </row>
    <row r="86" spans="2:18" ht="15" thickBot="1" x14ac:dyDescent="0.35">
      <c r="B86" s="25" t="s">
        <v>159</v>
      </c>
      <c r="C86" s="32" t="s">
        <v>160</v>
      </c>
      <c r="G86" s="26">
        <v>94.821685584615366</v>
      </c>
      <c r="H86" s="26">
        <v>2.428722</v>
      </c>
      <c r="I86" s="26">
        <v>18.861000000000001</v>
      </c>
      <c r="J86" s="26">
        <v>18.861000000000001</v>
      </c>
      <c r="K86" s="26"/>
      <c r="O86" s="26">
        <f t="shared" si="63"/>
        <v>304.44257877292546</v>
      </c>
      <c r="P86" s="26">
        <f t="shared" si="63"/>
        <v>7.8546036674104984</v>
      </c>
      <c r="Q86" s="26">
        <f t="shared" si="63"/>
        <v>59.149496660080906</v>
      </c>
      <c r="R86" s="26">
        <f t="shared" si="63"/>
        <v>57.971415398801291</v>
      </c>
    </row>
    <row r="87" spans="2:18" ht="15.6" thickTop="1" thickBot="1" x14ac:dyDescent="0.35">
      <c r="B87" s="34" t="s">
        <v>140</v>
      </c>
      <c r="C87" s="34" t="s">
        <v>140</v>
      </c>
      <c r="G87" s="35">
        <f>+G75-G74-G72</f>
        <v>2313.6696349999997</v>
      </c>
      <c r="H87" s="35">
        <f>+H75-H74-H72</f>
        <v>1934.9535209999999</v>
      </c>
      <c r="I87" s="35">
        <v>1800.567</v>
      </c>
      <c r="J87" s="85">
        <v>3779.18</v>
      </c>
      <c r="K87" s="85">
        <f>+K75-K72</f>
        <v>5512</v>
      </c>
      <c r="O87" s="35">
        <f t="shared" si="63"/>
        <v>7428.4647627303657</v>
      </c>
      <c r="P87" s="35">
        <f t="shared" si="63"/>
        <v>6257.7326768215771</v>
      </c>
      <c r="Q87" s="35">
        <f t="shared" si="63"/>
        <v>5646.7118261360429</v>
      </c>
      <c r="R87" s="85">
        <f t="shared" si="63"/>
        <v>11615.73689872445</v>
      </c>
    </row>
    <row r="88" spans="2:18" ht="15" thickTop="1" x14ac:dyDescent="0.3">
      <c r="B88" s="36"/>
      <c r="C88" s="36"/>
      <c r="D88" s="36"/>
      <c r="E88" s="36"/>
      <c r="F88" s="36"/>
      <c r="O88" s="36"/>
      <c r="P88" s="36"/>
    </row>
    <row r="89" spans="2:18" x14ac:dyDescent="0.3">
      <c r="B89" s="8"/>
      <c r="C89" s="8"/>
      <c r="D89" s="18"/>
      <c r="E89" s="18"/>
      <c r="F89" s="18"/>
      <c r="G89" s="18"/>
      <c r="H89" s="18"/>
    </row>
    <row r="90" spans="2:18" ht="15.6" x14ac:dyDescent="0.3">
      <c r="B90" s="44" t="s">
        <v>274</v>
      </c>
      <c r="C90" s="8"/>
      <c r="D90" s="18"/>
      <c r="E90" s="18"/>
      <c r="F90" s="18"/>
      <c r="G90" s="18"/>
      <c r="H90" s="18"/>
    </row>
    <row r="91" spans="2:18" x14ac:dyDescent="0.3">
      <c r="B91" s="8"/>
      <c r="C91" s="8"/>
      <c r="D91" s="18"/>
      <c r="E91" s="18"/>
      <c r="F91" s="18"/>
      <c r="G91" s="18"/>
      <c r="H91" s="18"/>
    </row>
    <row r="92" spans="2:18" x14ac:dyDescent="0.3">
      <c r="B92" s="2"/>
      <c r="C92" s="2" t="s">
        <v>97</v>
      </c>
      <c r="D92" s="3">
        <v>2013</v>
      </c>
      <c r="E92" s="3">
        <v>2014</v>
      </c>
      <c r="F92" s="3">
        <v>2015</v>
      </c>
      <c r="G92" s="3">
        <v>2016</v>
      </c>
      <c r="H92" s="18"/>
      <c r="L92" s="3">
        <v>2013</v>
      </c>
      <c r="M92" s="3">
        <v>2014</v>
      </c>
      <c r="N92" s="3">
        <v>2015</v>
      </c>
      <c r="O92" s="3">
        <v>2016</v>
      </c>
    </row>
    <row r="93" spans="2:18" x14ac:dyDescent="0.3">
      <c r="B93" s="2"/>
      <c r="C93" s="4" t="s">
        <v>2</v>
      </c>
      <c r="D93" s="3" t="s">
        <v>3</v>
      </c>
      <c r="E93" s="3" t="s">
        <v>3</v>
      </c>
      <c r="F93" s="3" t="s">
        <v>3</v>
      </c>
      <c r="G93" s="3" t="s">
        <v>3</v>
      </c>
      <c r="H93" s="18"/>
      <c r="L93" s="3" t="s">
        <v>3</v>
      </c>
      <c r="M93" s="3" t="s">
        <v>3</v>
      </c>
      <c r="N93" s="3" t="s">
        <v>3</v>
      </c>
      <c r="O93" s="3" t="s">
        <v>3</v>
      </c>
    </row>
    <row r="94" spans="2:18" x14ac:dyDescent="0.3">
      <c r="B94" s="8" t="s">
        <v>98</v>
      </c>
      <c r="C94" s="8" t="s">
        <v>99</v>
      </c>
      <c r="D94" s="9">
        <v>6172.3940000000002</v>
      </c>
      <c r="E94" s="9">
        <v>5860.0439999999999</v>
      </c>
      <c r="F94" s="9">
        <v>10699.412</v>
      </c>
      <c r="G94" s="9">
        <v>13948.218999999999</v>
      </c>
      <c r="H94" s="18"/>
      <c r="J94" s="30"/>
      <c r="K94" s="81"/>
      <c r="L94" s="9">
        <f>+D94/L$66*1000</f>
        <v>20788.070860837935</v>
      </c>
      <c r="M94" s="9">
        <f>+E94/M$66*1000</f>
        <v>18985.433810665454</v>
      </c>
      <c r="N94" s="9">
        <f>+F94/N$66*1000</f>
        <v>34525.369474023886</v>
      </c>
      <c r="O94" s="9">
        <f>+G94/O$66*1000</f>
        <v>44783.339754703651</v>
      </c>
    </row>
    <row r="95" spans="2:18" x14ac:dyDescent="0.3">
      <c r="B95" s="8" t="s">
        <v>100</v>
      </c>
      <c r="C95" s="8" t="s">
        <v>101</v>
      </c>
      <c r="D95" s="9">
        <v>-5187.491</v>
      </c>
      <c r="E95" s="9">
        <v>-4889.9620000000004</v>
      </c>
      <c r="F95" s="9">
        <v>-8378.84</v>
      </c>
      <c r="G95" s="9">
        <v>-10881.753000000001</v>
      </c>
      <c r="H95" s="18"/>
      <c r="L95" s="9">
        <f t="shared" ref="L95:L115" si="64">+D95/L$66*1000</f>
        <v>-17471.005658089718</v>
      </c>
      <c r="M95" s="9">
        <f t="shared" ref="M95:M115" si="65">+E95/M$66*1000</f>
        <v>-15842.55167498218</v>
      </c>
      <c r="N95" s="9">
        <f t="shared" ref="N95:N115" si="66">+F95/N$66*1000</f>
        <v>-27037.237818651181</v>
      </c>
      <c r="O95" s="9">
        <f t="shared" ref="O95:O115" si="67">+G95/O$66*1000</f>
        <v>-34937.882874205359</v>
      </c>
    </row>
    <row r="96" spans="2:18" x14ac:dyDescent="0.3">
      <c r="B96" s="6" t="s">
        <v>102</v>
      </c>
      <c r="C96" s="6" t="s">
        <v>103</v>
      </c>
      <c r="D96" s="13">
        <f>D94+D95</f>
        <v>984.90300000000025</v>
      </c>
      <c r="E96" s="13">
        <f>E94+E95</f>
        <v>970.08199999999943</v>
      </c>
      <c r="F96" s="13">
        <f>F94+F95</f>
        <v>2320.5720000000001</v>
      </c>
      <c r="G96" s="13">
        <f>G94+G95</f>
        <v>3066.4659999999985</v>
      </c>
      <c r="L96" s="13">
        <f t="shared" si="64"/>
        <v>3317.0652027482156</v>
      </c>
      <c r="M96" s="13">
        <f t="shared" si="65"/>
        <v>3142.8821356832741</v>
      </c>
      <c r="N96" s="13">
        <f t="shared" si="66"/>
        <v>7488.131655372702</v>
      </c>
      <c r="O96" s="13">
        <f t="shared" si="67"/>
        <v>9845.4568804982955</v>
      </c>
    </row>
    <row r="97" spans="2:15" x14ac:dyDescent="0.3">
      <c r="B97" s="8" t="s">
        <v>104</v>
      </c>
      <c r="C97" s="8" t="s">
        <v>105</v>
      </c>
      <c r="D97" s="9">
        <v>-473.03800000000001</v>
      </c>
      <c r="E97" s="9">
        <v>-544.62900000000002</v>
      </c>
      <c r="F97" s="9">
        <v>-1384.998</v>
      </c>
      <c r="G97" s="9">
        <v>-1267.9100000000001</v>
      </c>
      <c r="L97" s="9">
        <f t="shared" si="64"/>
        <v>-1593.1496699447662</v>
      </c>
      <c r="M97" s="9">
        <f t="shared" si="65"/>
        <v>-1764.4949134970518</v>
      </c>
      <c r="N97" s="9">
        <f t="shared" si="66"/>
        <v>-4469.1771539206202</v>
      </c>
      <c r="O97" s="9">
        <f t="shared" si="67"/>
        <v>-4070.8598214859057</v>
      </c>
    </row>
    <row r="98" spans="2:15" x14ac:dyDescent="0.3">
      <c r="B98" s="8" t="s">
        <v>106</v>
      </c>
      <c r="C98" s="8" t="s">
        <v>107</v>
      </c>
      <c r="D98" s="9">
        <v>-13.48</v>
      </c>
      <c r="E98" s="9">
        <v>-12.75</v>
      </c>
      <c r="F98" s="9">
        <v>-26.515000000000001</v>
      </c>
      <c r="G98" s="9">
        <v>-17.306000000000001</v>
      </c>
      <c r="L98" s="9">
        <f t="shared" si="64"/>
        <v>-45.399434191027886</v>
      </c>
      <c r="M98" s="9">
        <f t="shared" si="65"/>
        <v>-41.307587636882005</v>
      </c>
      <c r="N98" s="9">
        <f t="shared" si="66"/>
        <v>-85.55985801871573</v>
      </c>
      <c r="O98" s="9">
        <f t="shared" si="67"/>
        <v>-55.564117382649464</v>
      </c>
    </row>
    <row r="99" spans="2:15" x14ac:dyDescent="0.3">
      <c r="B99" s="8" t="s">
        <v>108</v>
      </c>
      <c r="C99" s="8" t="s">
        <v>109</v>
      </c>
      <c r="D99" s="9">
        <v>-102.943</v>
      </c>
      <c r="E99" s="9">
        <v>-97.417000000000002</v>
      </c>
      <c r="F99" s="9">
        <v>-430.666</v>
      </c>
      <c r="G99" s="9">
        <v>-297.86399999999998</v>
      </c>
      <c r="L99" s="9">
        <f t="shared" si="64"/>
        <v>-346.70281557321834</v>
      </c>
      <c r="M99" s="9">
        <f t="shared" si="65"/>
        <v>-315.61264822134382</v>
      </c>
      <c r="N99" s="9">
        <f t="shared" si="66"/>
        <v>-1389.6934494998388</v>
      </c>
      <c r="O99" s="9">
        <f t="shared" si="67"/>
        <v>-956.34752456174147</v>
      </c>
    </row>
    <row r="100" spans="2:15" x14ac:dyDescent="0.3">
      <c r="B100" s="6" t="s">
        <v>110</v>
      </c>
      <c r="C100" s="6" t="s">
        <v>111</v>
      </c>
      <c r="D100" s="13">
        <f t="shared" ref="D100:F100" si="68">SUM(D96:D99)</f>
        <v>395.44200000000023</v>
      </c>
      <c r="E100" s="13">
        <f t="shared" si="68"/>
        <v>315.28599999999938</v>
      </c>
      <c r="F100" s="13">
        <f t="shared" si="68"/>
        <v>478.39300000000009</v>
      </c>
      <c r="G100" s="13">
        <f t="shared" ref="G100" si="69">SUM(G96:G99)</f>
        <v>1483.3859999999984</v>
      </c>
      <c r="L100" s="13">
        <f t="shared" si="64"/>
        <v>1331.813283039203</v>
      </c>
      <c r="M100" s="13">
        <f t="shared" si="65"/>
        <v>1021.4669863279963</v>
      </c>
      <c r="N100" s="13">
        <f t="shared" si="66"/>
        <v>1543.7011939335273</v>
      </c>
      <c r="O100" s="13">
        <f t="shared" si="67"/>
        <v>4762.6854170679972</v>
      </c>
    </row>
    <row r="101" spans="2:15" x14ac:dyDescent="0.3">
      <c r="B101" s="19" t="s">
        <v>112</v>
      </c>
      <c r="C101" s="19" t="s">
        <v>113</v>
      </c>
      <c r="D101" s="9">
        <v>35.944000000000003</v>
      </c>
      <c r="E101" s="9">
        <v>32</v>
      </c>
      <c r="F101" s="9">
        <v>29.094000000000001</v>
      </c>
      <c r="G101" s="9">
        <v>7.6280000000000001</v>
      </c>
      <c r="L101" s="9">
        <f t="shared" si="64"/>
        <v>121.05617674794559</v>
      </c>
      <c r="M101" s="9">
        <f t="shared" si="65"/>
        <v>103.6739454415862</v>
      </c>
      <c r="N101" s="9">
        <f t="shared" si="66"/>
        <v>93.881897386253641</v>
      </c>
      <c r="O101" s="9">
        <f t="shared" si="67"/>
        <v>24.491106402106212</v>
      </c>
    </row>
    <row r="102" spans="2:15" x14ac:dyDescent="0.3">
      <c r="B102" s="19" t="s">
        <v>114</v>
      </c>
      <c r="C102" s="19" t="s">
        <v>115</v>
      </c>
      <c r="D102" s="9">
        <f>(-398410-54397-8331)/1000</f>
        <v>-461.13799999999998</v>
      </c>
      <c r="E102" s="9">
        <v>-635.87300000000005</v>
      </c>
      <c r="F102" s="9">
        <v>-663.79399999999998</v>
      </c>
      <c r="G102" s="9">
        <v>-463.35300000000001</v>
      </c>
      <c r="L102" s="9">
        <f t="shared" si="64"/>
        <v>-1553.0715344200457</v>
      </c>
      <c r="M102" s="9">
        <f t="shared" si="65"/>
        <v>-2060.1082096805549</v>
      </c>
      <c r="N102" s="9">
        <f t="shared" si="66"/>
        <v>-2141.9619232010327</v>
      </c>
      <c r="O102" s="9">
        <f t="shared" si="67"/>
        <v>-1487.6806010402622</v>
      </c>
    </row>
    <row r="103" spans="2:15" x14ac:dyDescent="0.3">
      <c r="B103" s="8" t="s">
        <v>116</v>
      </c>
      <c r="C103" s="8" t="s">
        <v>117</v>
      </c>
      <c r="D103" s="9">
        <f t="shared" ref="D103:E103" si="70">+D101+D102</f>
        <v>-425.19399999999996</v>
      </c>
      <c r="E103" s="9">
        <f t="shared" si="70"/>
        <v>-603.87300000000005</v>
      </c>
      <c r="F103" s="9">
        <f>+F101+F102</f>
        <v>-634.69999999999993</v>
      </c>
      <c r="G103" s="9">
        <f t="shared" ref="G103" si="71">+G101+G102</f>
        <v>-455.72500000000002</v>
      </c>
      <c r="L103" s="9">
        <f t="shared" si="64"/>
        <v>-1432.0153576721</v>
      </c>
      <c r="M103" s="9">
        <f t="shared" si="65"/>
        <v>-1956.4342642389686</v>
      </c>
      <c r="N103" s="9">
        <f t="shared" si="66"/>
        <v>-2048.0800258147788</v>
      </c>
      <c r="O103" s="9">
        <f t="shared" si="67"/>
        <v>-1463.1894946381558</v>
      </c>
    </row>
    <row r="104" spans="2:15" x14ac:dyDescent="0.3">
      <c r="B104" s="8" t="s">
        <v>118</v>
      </c>
      <c r="C104" s="8" t="s">
        <v>119</v>
      </c>
      <c r="D104" s="9">
        <v>0</v>
      </c>
      <c r="E104" s="9">
        <v>0</v>
      </c>
      <c r="F104" s="9">
        <v>1464.2719999999999</v>
      </c>
      <c r="G104" s="9">
        <v>0</v>
      </c>
      <c r="L104" s="9">
        <f t="shared" si="64"/>
        <v>0</v>
      </c>
      <c r="M104" s="9">
        <f t="shared" si="65"/>
        <v>0</v>
      </c>
      <c r="N104" s="9">
        <f t="shared" si="66"/>
        <v>4724.982252339465</v>
      </c>
      <c r="O104" s="9">
        <f t="shared" si="67"/>
        <v>0</v>
      </c>
    </row>
    <row r="105" spans="2:15" x14ac:dyDescent="0.3">
      <c r="B105" s="6" t="s">
        <v>120</v>
      </c>
      <c r="C105" s="6" t="s">
        <v>121</v>
      </c>
      <c r="D105" s="13">
        <f>D100+D103+D104</f>
        <v>-29.751999999999725</v>
      </c>
      <c r="E105" s="13">
        <f>E100+E103+E104</f>
        <v>-288.58700000000067</v>
      </c>
      <c r="F105" s="13">
        <f>F100+F103+F104</f>
        <v>1307.9650000000001</v>
      </c>
      <c r="G105" s="13">
        <f>G100+G103+G104</f>
        <v>1027.6609999999982</v>
      </c>
      <c r="L105" s="13">
        <f t="shared" si="64"/>
        <v>-100.20207463289682</v>
      </c>
      <c r="M105" s="13">
        <f t="shared" si="65"/>
        <v>-934.96727791097214</v>
      </c>
      <c r="N105" s="13">
        <f t="shared" si="66"/>
        <v>4220.6034204582129</v>
      </c>
      <c r="O105" s="13">
        <f t="shared" si="67"/>
        <v>3299.4959224298414</v>
      </c>
    </row>
    <row r="106" spans="2:15" x14ac:dyDescent="0.3">
      <c r="B106" s="8" t="s">
        <v>122</v>
      </c>
      <c r="C106" s="8" t="s">
        <v>123</v>
      </c>
      <c r="D106" s="9">
        <v>-27.709</v>
      </c>
      <c r="E106" s="9">
        <v>-57.326000000000001</v>
      </c>
      <c r="F106" s="9">
        <v>-142.19</v>
      </c>
      <c r="G106" s="9">
        <v>-204.73500000000001</v>
      </c>
      <c r="L106" s="9">
        <f t="shared" si="64"/>
        <v>-93.321433382729339</v>
      </c>
      <c r="M106" s="9">
        <f t="shared" si="65"/>
        <v>-185.72539363701159</v>
      </c>
      <c r="N106" s="9">
        <f t="shared" si="66"/>
        <v>-458.82542755727656</v>
      </c>
      <c r="O106" s="9">
        <f t="shared" si="67"/>
        <v>-657.33962627624737</v>
      </c>
    </row>
    <row r="107" spans="2:15" x14ac:dyDescent="0.3">
      <c r="B107" s="6" t="s">
        <v>124</v>
      </c>
      <c r="C107" s="6" t="s">
        <v>125</v>
      </c>
      <c r="D107" s="13">
        <f t="shared" ref="D107:G107" si="72">D105+D106</f>
        <v>-57.460999999999729</v>
      </c>
      <c r="E107" s="13">
        <f t="shared" si="72"/>
        <v>-345.91300000000069</v>
      </c>
      <c r="F107" s="13">
        <f t="shared" si="72"/>
        <v>1165.7750000000001</v>
      </c>
      <c r="G107" s="13">
        <f t="shared" si="72"/>
        <v>822.92599999999823</v>
      </c>
      <c r="L107" s="13">
        <f t="shared" si="64"/>
        <v>-193.52350801562619</v>
      </c>
      <c r="M107" s="13">
        <f t="shared" si="65"/>
        <v>-1120.6926715479838</v>
      </c>
      <c r="N107" s="13">
        <f t="shared" si="66"/>
        <v>3761.7779929009366</v>
      </c>
      <c r="O107" s="13">
        <f t="shared" si="67"/>
        <v>2642.1562961535938</v>
      </c>
    </row>
    <row r="108" spans="2:15" x14ac:dyDescent="0.3">
      <c r="B108" s="19" t="s">
        <v>126</v>
      </c>
      <c r="C108" s="19" t="s">
        <v>127</v>
      </c>
      <c r="D108" s="9">
        <v>-57.460999999999999</v>
      </c>
      <c r="E108" s="9">
        <v>-345.91300000000001</v>
      </c>
      <c r="F108" s="9">
        <v>1087.403</v>
      </c>
      <c r="G108" s="9">
        <v>728.10400000000004</v>
      </c>
      <c r="L108" s="9">
        <f t="shared" si="64"/>
        <v>-193.5235080156271</v>
      </c>
      <c r="M108" s="9">
        <f t="shared" si="65"/>
        <v>-1120.6926715479815</v>
      </c>
      <c r="N108" s="9">
        <f t="shared" si="66"/>
        <v>3508.8835108099393</v>
      </c>
      <c r="O108" s="9">
        <f t="shared" si="67"/>
        <v>2337.7127078918643</v>
      </c>
    </row>
    <row r="109" spans="2:15" x14ac:dyDescent="0.3">
      <c r="B109" s="19" t="s">
        <v>128</v>
      </c>
      <c r="C109" s="19" t="s">
        <v>129</v>
      </c>
      <c r="D109" s="9">
        <v>0</v>
      </c>
      <c r="E109" s="9">
        <v>0</v>
      </c>
      <c r="F109" s="9">
        <v>78.372</v>
      </c>
      <c r="G109" s="9">
        <v>94.822000000000003</v>
      </c>
      <c r="L109" s="9">
        <f t="shared" si="64"/>
        <v>0</v>
      </c>
      <c r="M109" s="9">
        <f t="shared" si="65"/>
        <v>0</v>
      </c>
      <c r="N109" s="9">
        <f t="shared" si="66"/>
        <v>252.89448209099714</v>
      </c>
      <c r="O109" s="9">
        <f t="shared" si="67"/>
        <v>304.44358826173504</v>
      </c>
    </row>
    <row r="110" spans="2:15" x14ac:dyDescent="0.3">
      <c r="B110" s="6" t="s">
        <v>130</v>
      </c>
      <c r="C110" s="6" t="s">
        <v>131</v>
      </c>
      <c r="D110" s="13">
        <v>0</v>
      </c>
      <c r="E110" s="13">
        <v>0</v>
      </c>
      <c r="F110" s="13">
        <v>-107.176</v>
      </c>
      <c r="G110" s="13">
        <v>547.51099999999997</v>
      </c>
      <c r="L110" s="13">
        <f t="shared" si="64"/>
        <v>0</v>
      </c>
      <c r="M110" s="13">
        <f t="shared" si="65"/>
        <v>0</v>
      </c>
      <c r="N110" s="13">
        <f t="shared" si="66"/>
        <v>-345.84059373991613</v>
      </c>
      <c r="O110" s="13">
        <f t="shared" si="67"/>
        <v>1757.8854427534836</v>
      </c>
    </row>
    <row r="111" spans="2:15" x14ac:dyDescent="0.3">
      <c r="B111" s="19" t="s">
        <v>126</v>
      </c>
      <c r="C111" s="19" t="s">
        <v>127</v>
      </c>
      <c r="D111" s="9"/>
      <c r="E111" s="9"/>
      <c r="F111" s="9"/>
      <c r="G111" s="9"/>
      <c r="L111" s="9">
        <f t="shared" si="64"/>
        <v>0</v>
      </c>
      <c r="M111" s="9">
        <f t="shared" si="65"/>
        <v>0</v>
      </c>
      <c r="N111" s="9">
        <f t="shared" si="66"/>
        <v>0</v>
      </c>
      <c r="O111" s="9">
        <f t="shared" si="67"/>
        <v>0</v>
      </c>
    </row>
    <row r="112" spans="2:15" x14ac:dyDescent="0.3">
      <c r="B112" s="19" t="s">
        <v>132</v>
      </c>
      <c r="C112" s="19" t="s">
        <v>129</v>
      </c>
      <c r="D112" s="9"/>
      <c r="E112" s="9"/>
      <c r="F112" s="9"/>
      <c r="G112" s="9"/>
      <c r="L112" s="9">
        <f t="shared" si="64"/>
        <v>0</v>
      </c>
      <c r="M112" s="9">
        <f t="shared" si="65"/>
        <v>0</v>
      </c>
      <c r="N112" s="9">
        <f t="shared" si="66"/>
        <v>0</v>
      </c>
      <c r="O112" s="9">
        <f t="shared" si="67"/>
        <v>0</v>
      </c>
    </row>
    <row r="113" spans="2:18" x14ac:dyDescent="0.3">
      <c r="B113" s="6" t="s">
        <v>133</v>
      </c>
      <c r="C113" s="6" t="s">
        <v>134</v>
      </c>
      <c r="D113" s="13">
        <f>+D107+D110</f>
        <v>-57.460999999999729</v>
      </c>
      <c r="E113" s="13">
        <f t="shared" ref="E113:G113" si="73">+E107+E110</f>
        <v>-345.91300000000069</v>
      </c>
      <c r="F113" s="13">
        <f t="shared" si="73"/>
        <v>1058.5990000000002</v>
      </c>
      <c r="G113" s="13">
        <f t="shared" si="73"/>
        <v>1370.4369999999981</v>
      </c>
      <c r="L113" s="13">
        <f t="shared" si="64"/>
        <v>-193.52350801562619</v>
      </c>
      <c r="M113" s="13">
        <f t="shared" si="65"/>
        <v>-1120.6926715479838</v>
      </c>
      <c r="N113" s="13">
        <f t="shared" si="66"/>
        <v>3415.93739916102</v>
      </c>
      <c r="O113" s="13">
        <f t="shared" si="67"/>
        <v>4400.0417389070772</v>
      </c>
    </row>
    <row r="114" spans="2:18" x14ac:dyDescent="0.3">
      <c r="B114" s="19" t="s">
        <v>126</v>
      </c>
      <c r="C114" s="19" t="s">
        <v>127</v>
      </c>
      <c r="D114" s="9">
        <v>-57.461000000000183</v>
      </c>
      <c r="E114" s="9">
        <v>-345.91300000000001</v>
      </c>
      <c r="F114" s="9">
        <v>996.80899999999974</v>
      </c>
      <c r="G114" s="9">
        <v>1275.615</v>
      </c>
      <c r="L114" s="9">
        <f t="shared" si="64"/>
        <v>-193.5235080156277</v>
      </c>
      <c r="M114" s="9">
        <f t="shared" si="65"/>
        <v>-1120.6926715479815</v>
      </c>
      <c r="N114" s="9">
        <f t="shared" si="66"/>
        <v>3216.5505001613419</v>
      </c>
      <c r="O114" s="9">
        <f t="shared" si="67"/>
        <v>4095.5981506453477</v>
      </c>
    </row>
    <row r="115" spans="2:18" x14ac:dyDescent="0.3">
      <c r="B115" s="19" t="s">
        <v>135</v>
      </c>
      <c r="C115" s="19" t="s">
        <v>129</v>
      </c>
      <c r="D115" s="9">
        <v>0</v>
      </c>
      <c r="E115" s="9">
        <v>0</v>
      </c>
      <c r="F115" s="9">
        <v>61.79</v>
      </c>
      <c r="G115" s="9">
        <v>94.822000000000003</v>
      </c>
      <c r="L115" s="9">
        <f t="shared" si="64"/>
        <v>0</v>
      </c>
      <c r="M115" s="9">
        <f t="shared" si="65"/>
        <v>0</v>
      </c>
      <c r="N115" s="9">
        <f t="shared" si="66"/>
        <v>199.38689899967733</v>
      </c>
      <c r="O115" s="9">
        <f t="shared" si="67"/>
        <v>304.44358826173504</v>
      </c>
    </row>
    <row r="116" spans="2:18" x14ac:dyDescent="0.3">
      <c r="B116" s="20"/>
      <c r="C116" s="20"/>
      <c r="D116" s="39"/>
      <c r="E116" s="39"/>
      <c r="F116" s="39"/>
      <c r="G116" s="39"/>
      <c r="L116" s="39"/>
      <c r="M116" s="39"/>
      <c r="N116" s="39"/>
      <c r="O116" s="39"/>
    </row>
    <row r="117" spans="2:18" hidden="1" x14ac:dyDescent="0.3">
      <c r="B117" s="15" t="s">
        <v>136</v>
      </c>
      <c r="C117" s="15" t="s">
        <v>137</v>
      </c>
      <c r="D117" s="40">
        <v>-34.47</v>
      </c>
      <c r="E117" s="40">
        <v>-206.27</v>
      </c>
      <c r="F117" s="40">
        <v>597.70000000000005</v>
      </c>
      <c r="G117" s="40">
        <v>751.61</v>
      </c>
      <c r="L117" s="40">
        <f t="shared" ref="L117:O118" si="74">+D117/L$66</f>
        <v>-0.1160918765997575</v>
      </c>
      <c r="M117" s="40">
        <f t="shared" si="74"/>
        <v>-0.66827577269487459</v>
      </c>
      <c r="N117" s="40">
        <f t="shared" si="74"/>
        <v>1.9286866731203618</v>
      </c>
      <c r="O117" s="40">
        <f t="shared" si="74"/>
        <v>2.4131830732678354</v>
      </c>
    </row>
    <row r="118" spans="2:18" hidden="1" x14ac:dyDescent="0.3">
      <c r="B118" s="5" t="s">
        <v>138</v>
      </c>
      <c r="C118" s="5" t="s">
        <v>139</v>
      </c>
      <c r="D118" s="41">
        <v>-34.47</v>
      </c>
      <c r="E118" s="41">
        <v>-206.27</v>
      </c>
      <c r="F118" s="41">
        <v>597.70000000000005</v>
      </c>
      <c r="G118" s="41">
        <v>749.87</v>
      </c>
      <c r="L118" s="41">
        <f t="shared" si="74"/>
        <v>-0.1160918765997575</v>
      </c>
      <c r="M118" s="41">
        <f t="shared" si="74"/>
        <v>-0.66827577269487459</v>
      </c>
      <c r="N118" s="41">
        <f t="shared" si="74"/>
        <v>1.9286866731203618</v>
      </c>
      <c r="O118" s="41">
        <f t="shared" si="74"/>
        <v>2.4075964810890644</v>
      </c>
    </row>
    <row r="119" spans="2:18" x14ac:dyDescent="0.3">
      <c r="B119" s="5" t="s">
        <v>140</v>
      </c>
      <c r="C119" s="5" t="s">
        <v>140</v>
      </c>
      <c r="D119" s="13">
        <v>815.60400000000004</v>
      </c>
      <c r="E119" s="13">
        <v>749.34699999999998</v>
      </c>
      <c r="F119" s="13">
        <v>1428.8420000000001</v>
      </c>
      <c r="G119" s="13">
        <v>2313.67</v>
      </c>
      <c r="H119" s="30"/>
      <c r="I119" s="30"/>
      <c r="J119" s="30"/>
      <c r="K119" s="81"/>
      <c r="L119" s="13">
        <f t="shared" ref="L119" si="75">+D119/L$66*1000</f>
        <v>2746.8813148322783</v>
      </c>
      <c r="M119" s="13">
        <f t="shared" ref="M119" si="76">+E119/M$66*1000</f>
        <v>2427.7424998380088</v>
      </c>
      <c r="N119" s="13">
        <f t="shared" ref="N119" si="77">+F119/N$66*1000</f>
        <v>4610.6550500161347</v>
      </c>
      <c r="O119" s="13">
        <f t="shared" ref="O119" si="78">+G119/O$66*1000</f>
        <v>7428.4659346304506</v>
      </c>
    </row>
    <row r="122" spans="2:18" ht="15.6" x14ac:dyDescent="0.3">
      <c r="B122" s="44" t="s">
        <v>183</v>
      </c>
    </row>
    <row r="124" spans="2:18" ht="15" thickBot="1" x14ac:dyDescent="0.35">
      <c r="B124" s="8"/>
      <c r="C124" s="8"/>
      <c r="D124" s="45"/>
      <c r="E124" s="45"/>
      <c r="F124" s="45"/>
      <c r="G124" s="45"/>
      <c r="H124" s="45"/>
    </row>
    <row r="125" spans="2:18" x14ac:dyDescent="0.3">
      <c r="B125" s="46"/>
      <c r="C125" s="47" t="s">
        <v>184</v>
      </c>
      <c r="D125" s="48">
        <v>2013</v>
      </c>
      <c r="E125" s="48">
        <v>2014</v>
      </c>
      <c r="F125" s="48">
        <v>2015</v>
      </c>
      <c r="G125" s="48">
        <v>2016</v>
      </c>
      <c r="H125" s="48">
        <v>2017</v>
      </c>
      <c r="I125" s="48">
        <v>2018</v>
      </c>
      <c r="J125" s="48">
        <v>2019</v>
      </c>
      <c r="L125" s="48">
        <v>2013</v>
      </c>
      <c r="M125" s="48">
        <v>2014</v>
      </c>
      <c r="N125" s="48">
        <v>2015</v>
      </c>
      <c r="O125" s="48">
        <v>2016</v>
      </c>
      <c r="P125" s="48">
        <v>2017</v>
      </c>
      <c r="Q125" s="48">
        <v>2018</v>
      </c>
      <c r="R125" s="48">
        <v>2019</v>
      </c>
    </row>
    <row r="126" spans="2:18" x14ac:dyDescent="0.3">
      <c r="B126" s="49"/>
      <c r="C126" s="4" t="s">
        <v>2</v>
      </c>
      <c r="D126" s="3" t="s">
        <v>3</v>
      </c>
      <c r="E126" s="3" t="s">
        <v>3</v>
      </c>
      <c r="F126" s="3" t="s">
        <v>3</v>
      </c>
      <c r="G126" s="3" t="s">
        <v>3</v>
      </c>
      <c r="H126" s="3" t="s">
        <v>3</v>
      </c>
      <c r="I126" s="3" t="s">
        <v>3</v>
      </c>
      <c r="J126" s="3" t="s">
        <v>3</v>
      </c>
      <c r="L126" s="3" t="s">
        <v>3</v>
      </c>
      <c r="M126" s="3" t="s">
        <v>3</v>
      </c>
      <c r="N126" s="3" t="s">
        <v>3</v>
      </c>
      <c r="O126" s="3" t="s">
        <v>3</v>
      </c>
      <c r="P126" s="3" t="s">
        <v>3</v>
      </c>
      <c r="Q126" s="3" t="s">
        <v>3</v>
      </c>
      <c r="R126" s="3" t="s">
        <v>3</v>
      </c>
    </row>
    <row r="127" spans="2:18" x14ac:dyDescent="0.3">
      <c r="B127" s="50" t="s">
        <v>120</v>
      </c>
      <c r="C127" s="8" t="s">
        <v>121</v>
      </c>
      <c r="D127" s="9">
        <v>-29.751999999999999</v>
      </c>
      <c r="E127" s="9">
        <v>-288.58699999999999</v>
      </c>
      <c r="F127" s="9">
        <v>1307.9649999999999</v>
      </c>
      <c r="G127" s="9">
        <v>1027.6600000000001</v>
      </c>
      <c r="H127" s="9">
        <v>1032.83</v>
      </c>
      <c r="I127" s="9">
        <v>805.89300000000003</v>
      </c>
      <c r="J127" s="9">
        <v>709.46501699999817</v>
      </c>
      <c r="L127" s="9">
        <f t="shared" ref="L127:R127" si="79">IFERROR(D127/L$66*1000,0)</f>
        <v>-100.20207463289773</v>
      </c>
      <c r="M127" s="9">
        <f t="shared" si="79"/>
        <v>-934.96727791096987</v>
      </c>
      <c r="N127" s="9">
        <f t="shared" si="79"/>
        <v>4220.6034204582129</v>
      </c>
      <c r="O127" s="9">
        <f t="shared" si="79"/>
        <v>3299.4927117446864</v>
      </c>
      <c r="P127" s="9">
        <f t="shared" si="79"/>
        <v>3340.2218556967759</v>
      </c>
      <c r="Q127" s="9">
        <f t="shared" si="79"/>
        <v>2527.3402954181952</v>
      </c>
      <c r="R127" s="9">
        <f t="shared" si="79"/>
        <v>2180.6209220839037</v>
      </c>
    </row>
    <row r="128" spans="2:18" x14ac:dyDescent="0.3">
      <c r="B128" s="50" t="s">
        <v>185</v>
      </c>
      <c r="C128" s="8" t="s">
        <v>186</v>
      </c>
      <c r="D128" s="9">
        <v>362.46600000000001</v>
      </c>
      <c r="E128" s="9">
        <v>423.58600000000001</v>
      </c>
      <c r="F128" s="9">
        <v>372.15899999999999</v>
      </c>
      <c r="G128" s="9">
        <v>324.92700000000002</v>
      </c>
      <c r="H128" s="9">
        <v>322.21600000000001</v>
      </c>
      <c r="I128" s="9">
        <v>316.90499999999997</v>
      </c>
      <c r="J128" s="9">
        <v>736.66738499999997</v>
      </c>
      <c r="L128" s="9">
        <f t="shared" ref="L128:L137" si="80">IFERROR(D128/L$66*1000,0)</f>
        <v>1220.7530647985989</v>
      </c>
      <c r="M128" s="9">
        <f t="shared" ref="M128:M137" si="81">IFERROR(E128/M$66*1000,0)</f>
        <v>1372.3384954318667</v>
      </c>
      <c r="N128" s="9">
        <f t="shared" ref="N128:N137" si="82">IFERROR(F128/N$66*1000,0)</f>
        <v>1200.9002904162633</v>
      </c>
      <c r="O128" s="9">
        <f t="shared" ref="O128:O137" si="83">IFERROR(G128/O$66*1000,0)</f>
        <v>1043.2382970525912</v>
      </c>
      <c r="P128" s="9">
        <f t="shared" ref="P128:P137" si="84">IFERROR(H128/P$66*1000,0)</f>
        <v>1042.0620290417517</v>
      </c>
      <c r="Q128" s="9">
        <f t="shared" ref="Q128:R137" si="85">IFERROR(I128/Q$66*1000,0)</f>
        <v>993.83761407470115</v>
      </c>
      <c r="R128" s="9">
        <f t="shared" si="85"/>
        <v>2264.2304748732131</v>
      </c>
    </row>
    <row r="129" spans="2:18" x14ac:dyDescent="0.3">
      <c r="B129" s="50" t="s">
        <v>187</v>
      </c>
      <c r="C129" s="8" t="s">
        <v>188</v>
      </c>
      <c r="D129" s="9">
        <v>420.16199999999998</v>
      </c>
      <c r="E129" s="9">
        <v>404.05799999999999</v>
      </c>
      <c r="F129" s="9">
        <v>627.36599999999999</v>
      </c>
      <c r="G129" s="9">
        <v>601.33199999999999</v>
      </c>
      <c r="H129" s="9">
        <v>571.66499999999996</v>
      </c>
      <c r="I129" s="9">
        <v>729.81799999999998</v>
      </c>
      <c r="J129" s="9">
        <v>2045.7517579999999</v>
      </c>
      <c r="L129" s="9">
        <f t="shared" si="80"/>
        <v>1415.0680317930755</v>
      </c>
      <c r="M129" s="9">
        <f t="shared" si="81"/>
        <v>1309.0714702261387</v>
      </c>
      <c r="N129" s="9">
        <f t="shared" si="82"/>
        <v>2024.4143272023236</v>
      </c>
      <c r="O129" s="9">
        <f t="shared" si="83"/>
        <v>1930.6877287613179</v>
      </c>
      <c r="P129" s="9">
        <f t="shared" si="84"/>
        <v>1848.7920830503542</v>
      </c>
      <c r="Q129" s="9">
        <f t="shared" si="85"/>
        <v>2288.7634459183996</v>
      </c>
      <c r="R129" s="9">
        <f t="shared" si="85"/>
        <v>6287.849263869678</v>
      </c>
    </row>
    <row r="130" spans="2:18" x14ac:dyDescent="0.3">
      <c r="B130" s="50" t="s">
        <v>189</v>
      </c>
      <c r="C130" s="8" t="s">
        <v>190</v>
      </c>
      <c r="D130" s="9">
        <v>0</v>
      </c>
      <c r="E130" s="9">
        <v>0</v>
      </c>
      <c r="F130" s="9">
        <v>323.08199999999999</v>
      </c>
      <c r="G130" s="9">
        <v>228.953</v>
      </c>
      <c r="H130" s="9">
        <v>1.35</v>
      </c>
      <c r="I130" s="9">
        <v>32.522967000000001</v>
      </c>
      <c r="J130" s="9">
        <v>14.653</v>
      </c>
      <c r="L130" s="9">
        <f t="shared" si="80"/>
        <v>0</v>
      </c>
      <c r="M130" s="9">
        <f t="shared" si="81"/>
        <v>0</v>
      </c>
      <c r="N130" s="9">
        <f t="shared" si="82"/>
        <v>1042.5363020329139</v>
      </c>
      <c r="O130" s="9">
        <f t="shared" si="83"/>
        <v>735.09599948629045</v>
      </c>
      <c r="P130" s="9">
        <f t="shared" si="84"/>
        <v>4.365964878238092</v>
      </c>
      <c r="Q130" s="9">
        <f t="shared" si="85"/>
        <v>101.99443974033305</v>
      </c>
      <c r="R130" s="9">
        <f t="shared" si="85"/>
        <v>45.03765175964346</v>
      </c>
    </row>
    <row r="131" spans="2:18" x14ac:dyDescent="0.3">
      <c r="B131" s="50" t="s">
        <v>341</v>
      </c>
      <c r="C131" s="8"/>
      <c r="D131" s="9"/>
      <c r="E131" s="9"/>
      <c r="F131" s="9"/>
      <c r="G131" s="9"/>
      <c r="H131" s="9"/>
      <c r="I131" s="9">
        <v>0.52900000000000003</v>
      </c>
      <c r="J131" s="9">
        <v>-79.375</v>
      </c>
      <c r="L131" s="9"/>
      <c r="M131" s="9"/>
      <c r="N131" s="9"/>
      <c r="O131" s="9"/>
      <c r="P131" s="9"/>
      <c r="Q131" s="9"/>
      <c r="R131" s="9"/>
    </row>
    <row r="132" spans="2:18" x14ac:dyDescent="0.3">
      <c r="B132" s="50" t="s">
        <v>191</v>
      </c>
      <c r="C132" s="8" t="s">
        <v>72</v>
      </c>
      <c r="D132" s="9">
        <v>0</v>
      </c>
      <c r="E132" s="9">
        <v>0</v>
      </c>
      <c r="F132" s="9">
        <v>-88.921999999999997</v>
      </c>
      <c r="G132" s="9">
        <v>-79.165000000000006</v>
      </c>
      <c r="H132" s="9">
        <v>-225.58699999999999</v>
      </c>
      <c r="I132" s="9">
        <v>-86.629000000000005</v>
      </c>
      <c r="J132" s="9">
        <v>0</v>
      </c>
      <c r="L132" s="9">
        <f t="shared" si="80"/>
        <v>0</v>
      </c>
      <c r="M132" s="9">
        <f t="shared" si="81"/>
        <v>0</v>
      </c>
      <c r="N132" s="9">
        <f t="shared" si="82"/>
        <v>-286.9377218457567</v>
      </c>
      <c r="O132" s="9">
        <f t="shared" si="83"/>
        <v>-254.17389070827718</v>
      </c>
      <c r="P132" s="9">
        <f t="shared" si="84"/>
        <v>-729.5591992497009</v>
      </c>
      <c r="Q132" s="9">
        <f t="shared" si="85"/>
        <v>-271.67497726346164</v>
      </c>
      <c r="R132" s="9">
        <f t="shared" si="85"/>
        <v>0</v>
      </c>
    </row>
    <row r="133" spans="2:18" x14ac:dyDescent="0.3">
      <c r="B133" s="50" t="s">
        <v>192</v>
      </c>
      <c r="C133" s="8" t="s">
        <v>193</v>
      </c>
      <c r="D133" s="9">
        <v>3.6030000000000002</v>
      </c>
      <c r="E133" s="9">
        <v>3.5419999999999998</v>
      </c>
      <c r="F133" s="9">
        <v>8.9920000000000009</v>
      </c>
      <c r="G133" s="9">
        <v>9.2469999999999999</v>
      </c>
      <c r="H133" s="9" t="s">
        <v>12</v>
      </c>
      <c r="I133" s="9">
        <v>12.278180000000001</v>
      </c>
      <c r="J133" s="9">
        <v>316.94099999999997</v>
      </c>
      <c r="L133" s="9">
        <f t="shared" si="80"/>
        <v>12.134581705509902</v>
      </c>
      <c r="M133" s="9">
        <f t="shared" si="81"/>
        <v>11.475409836065571</v>
      </c>
      <c r="N133" s="9">
        <f t="shared" si="82"/>
        <v>29.01581155211359</v>
      </c>
      <c r="O133" s="9">
        <f t="shared" si="83"/>
        <v>29.689205676491365</v>
      </c>
      <c r="P133" s="9">
        <f t="shared" si="84"/>
        <v>0</v>
      </c>
      <c r="Q133" s="9">
        <f t="shared" si="85"/>
        <v>38.505284285131879</v>
      </c>
      <c r="R133" s="9">
        <f t="shared" si="85"/>
        <v>974.15398801290894</v>
      </c>
    </row>
    <row r="134" spans="2:18" x14ac:dyDescent="0.3">
      <c r="B134" s="50" t="s">
        <v>194</v>
      </c>
      <c r="C134" s="8" t="s">
        <v>195</v>
      </c>
      <c r="D134" s="9">
        <v>-0.46899999999999997</v>
      </c>
      <c r="E134" s="9">
        <v>-6.0270000000000001</v>
      </c>
      <c r="F134" s="9">
        <v>283.63900000000001</v>
      </c>
      <c r="G134" s="9">
        <v>-68.084000000000003</v>
      </c>
      <c r="H134" s="9">
        <v>-140.096</v>
      </c>
      <c r="I134" s="9">
        <v>-79.989666999999997</v>
      </c>
      <c r="J134" s="9">
        <v>394.42599999999999</v>
      </c>
      <c r="L134" s="9">
        <f t="shared" si="80"/>
        <v>-1.5795500471507475</v>
      </c>
      <c r="M134" s="9">
        <f t="shared" si="81"/>
        <v>-19.526339661763753</v>
      </c>
      <c r="N134" s="9">
        <f t="shared" si="82"/>
        <v>915.25976121329461</v>
      </c>
      <c r="O134" s="9">
        <f t="shared" si="83"/>
        <v>-218.59628844795481</v>
      </c>
      <c r="P134" s="9">
        <f t="shared" si="84"/>
        <v>-453.07719672714342</v>
      </c>
      <c r="Q134" s="9">
        <f t="shared" si="85"/>
        <v>-250.85353592373067</v>
      </c>
      <c r="R134" s="9">
        <f t="shared" si="85"/>
        <v>1212.3128938066695</v>
      </c>
    </row>
    <row r="135" spans="2:18" x14ac:dyDescent="0.3">
      <c r="B135" s="50" t="s">
        <v>196</v>
      </c>
      <c r="C135" s="10" t="s">
        <v>197</v>
      </c>
      <c r="D135" s="9">
        <v>73.94</v>
      </c>
      <c r="E135" s="9">
        <v>122.88</v>
      </c>
      <c r="F135" s="9">
        <v>-1.514</v>
      </c>
      <c r="G135" s="9">
        <v>-51.652000000000001</v>
      </c>
      <c r="H135" s="9">
        <v>-472.89299999999997</v>
      </c>
      <c r="I135" s="9">
        <v>-6.2274139999999996</v>
      </c>
      <c r="J135" s="9">
        <v>-1415.65</v>
      </c>
      <c r="L135" s="9">
        <f t="shared" si="80"/>
        <v>249.02330594099419</v>
      </c>
      <c r="M135" s="9">
        <f t="shared" si="81"/>
        <v>398.10795049569106</v>
      </c>
      <c r="N135" s="9">
        <f t="shared" si="82"/>
        <v>-4.8854469183607625</v>
      </c>
      <c r="O135" s="9">
        <f t="shared" si="83"/>
        <v>-165.83830989533169</v>
      </c>
      <c r="P135" s="9">
        <f t="shared" si="84"/>
        <v>-1529.3586882701079</v>
      </c>
      <c r="Q135" s="9">
        <f t="shared" si="85"/>
        <v>-19.529632765703891</v>
      </c>
      <c r="R135" s="9">
        <f t="shared" si="85"/>
        <v>-4351.1602889196256</v>
      </c>
    </row>
    <row r="136" spans="2:18" x14ac:dyDescent="0.3">
      <c r="B136" s="50" t="s">
        <v>198</v>
      </c>
      <c r="C136" s="8" t="s">
        <v>119</v>
      </c>
      <c r="D136" s="9">
        <v>0</v>
      </c>
      <c r="E136" s="9">
        <v>0</v>
      </c>
      <c r="F136" s="9">
        <v>-1464.2719999999999</v>
      </c>
      <c r="G136" s="9">
        <v>0</v>
      </c>
      <c r="H136" s="9">
        <v>0</v>
      </c>
      <c r="I136" s="9">
        <v>0</v>
      </c>
      <c r="J136" s="9">
        <v>0</v>
      </c>
      <c r="L136" s="9">
        <f t="shared" si="80"/>
        <v>0</v>
      </c>
      <c r="M136" s="9">
        <f t="shared" si="81"/>
        <v>0</v>
      </c>
      <c r="N136" s="9">
        <f t="shared" si="82"/>
        <v>-4724.982252339465</v>
      </c>
      <c r="O136" s="9">
        <f t="shared" si="83"/>
        <v>0</v>
      </c>
      <c r="P136" s="9">
        <f t="shared" si="84"/>
        <v>0</v>
      </c>
      <c r="Q136" s="9">
        <f t="shared" si="85"/>
        <v>0</v>
      </c>
      <c r="R136" s="9">
        <f t="shared" si="85"/>
        <v>0</v>
      </c>
    </row>
    <row r="137" spans="2:18" x14ac:dyDescent="0.3">
      <c r="B137" s="50" t="s">
        <v>199</v>
      </c>
      <c r="C137" s="8" t="s">
        <v>307</v>
      </c>
      <c r="D137" s="9">
        <v>0</v>
      </c>
      <c r="E137" s="9">
        <v>0</v>
      </c>
      <c r="F137" s="9">
        <v>0</v>
      </c>
      <c r="G137" s="9">
        <v>42.295999999999999</v>
      </c>
      <c r="H137" s="9">
        <v>41.444000000000003</v>
      </c>
      <c r="I137" s="9">
        <v>8.9499999999999993</v>
      </c>
      <c r="J137" s="9">
        <v>1.65</v>
      </c>
      <c r="L137" s="9">
        <f t="shared" si="80"/>
        <v>0</v>
      </c>
      <c r="M137" s="9">
        <f t="shared" si="81"/>
        <v>0</v>
      </c>
      <c r="N137" s="9">
        <f t="shared" si="82"/>
        <v>0</v>
      </c>
      <c r="O137" s="9">
        <f t="shared" si="83"/>
        <v>135.79913953637706</v>
      </c>
      <c r="P137" s="9">
        <f t="shared" si="84"/>
        <v>134.03188771385143</v>
      </c>
      <c r="Q137" s="9">
        <f t="shared" si="85"/>
        <v>28.067864647034842</v>
      </c>
      <c r="R137" s="9">
        <f t="shared" si="85"/>
        <v>5.0714615029967725</v>
      </c>
    </row>
    <row r="138" spans="2:18" x14ac:dyDescent="0.3">
      <c r="B138" s="50" t="s">
        <v>342</v>
      </c>
      <c r="C138" s="8"/>
      <c r="D138" s="9"/>
      <c r="E138" s="9"/>
      <c r="F138" s="9"/>
      <c r="G138" s="9"/>
      <c r="H138" s="9"/>
      <c r="I138" s="9">
        <v>46.853999999999999</v>
      </c>
      <c r="J138" s="9">
        <v>175.07300000000001</v>
      </c>
      <c r="L138" s="9"/>
      <c r="M138" s="9"/>
      <c r="N138" s="9"/>
      <c r="O138" s="9"/>
      <c r="P138" s="9"/>
      <c r="Q138" s="9"/>
      <c r="R138" s="9"/>
    </row>
    <row r="139" spans="2:18" x14ac:dyDescent="0.3">
      <c r="B139" s="50" t="s">
        <v>217</v>
      </c>
      <c r="C139" s="8"/>
      <c r="D139" s="9"/>
      <c r="E139" s="9"/>
      <c r="F139" s="9"/>
      <c r="G139" s="9"/>
      <c r="H139" s="9"/>
      <c r="I139" s="9">
        <v>-236.55679999999998</v>
      </c>
      <c r="J139" s="9">
        <v>-515.90647799999999</v>
      </c>
      <c r="L139" s="9"/>
      <c r="M139" s="9"/>
      <c r="N139" s="9"/>
      <c r="O139" s="9"/>
      <c r="P139" s="9"/>
      <c r="Q139" s="9"/>
      <c r="R139" s="9"/>
    </row>
    <row r="140" spans="2:18" x14ac:dyDescent="0.3">
      <c r="B140" s="50" t="s">
        <v>221</v>
      </c>
      <c r="C140" s="8"/>
      <c r="D140" s="9"/>
      <c r="E140" s="9"/>
      <c r="F140" s="9"/>
      <c r="G140" s="9"/>
      <c r="H140" s="9"/>
      <c r="I140" s="9">
        <v>-228.96025</v>
      </c>
      <c r="J140" s="9">
        <v>-435.83447100000001</v>
      </c>
      <c r="L140" s="9"/>
      <c r="M140" s="9"/>
      <c r="N140" s="9"/>
      <c r="O140" s="9"/>
      <c r="P140" s="9"/>
      <c r="Q140" s="9"/>
      <c r="R140" s="9"/>
    </row>
    <row r="141" spans="2:18" x14ac:dyDescent="0.3">
      <c r="B141" s="52"/>
      <c r="C141" s="6"/>
      <c r="D141" s="13">
        <f t="shared" ref="D141:J141" si="86">SUM(D127:D140)</f>
        <v>829.94999999999982</v>
      </c>
      <c r="E141" s="13">
        <f t="shared" si="86"/>
        <v>659.452</v>
      </c>
      <c r="F141" s="13">
        <f t="shared" si="86"/>
        <v>1368.4949999999999</v>
      </c>
      <c r="G141" s="13">
        <f t="shared" si="86"/>
        <v>2035.5139999999997</v>
      </c>
      <c r="H141" s="13">
        <f t="shared" si="86"/>
        <v>1130.9289999999996</v>
      </c>
      <c r="I141" s="13">
        <f t="shared" si="86"/>
        <v>1315.3870160000001</v>
      </c>
      <c r="J141" s="13">
        <f t="shared" si="86"/>
        <v>1947.8612109999972</v>
      </c>
      <c r="L141" s="13">
        <f>SUM(L127:L140)</f>
        <v>2795.1973595581298</v>
      </c>
      <c r="M141" s="13">
        <f t="shared" ref="M141:Q141" si="87">SUM(M127:M140)</f>
        <v>2136.4997084170282</v>
      </c>
      <c r="N141" s="13">
        <f t="shared" si="87"/>
        <v>4415.9244917715387</v>
      </c>
      <c r="O141" s="13">
        <f t="shared" si="87"/>
        <v>6535.3945932061897</v>
      </c>
      <c r="P141" s="13">
        <f t="shared" si="87"/>
        <v>3657.4787361340191</v>
      </c>
      <c r="Q141" s="13">
        <f t="shared" si="87"/>
        <v>5436.4507981308998</v>
      </c>
      <c r="R141" s="13">
        <f t="shared" ref="R141" si="88">SUM(R127:R140)</f>
        <v>8618.1163669893886</v>
      </c>
    </row>
    <row r="142" spans="2:18" x14ac:dyDescent="0.3">
      <c r="B142" s="51" t="s">
        <v>200</v>
      </c>
      <c r="C142" s="19" t="s">
        <v>201</v>
      </c>
      <c r="D142" s="53"/>
      <c r="E142" s="53"/>
      <c r="F142" s="53"/>
      <c r="G142" s="53"/>
      <c r="H142" s="53"/>
      <c r="I142" s="53"/>
      <c r="J142" s="53"/>
      <c r="L142" s="53"/>
      <c r="M142" s="53"/>
      <c r="N142" s="53"/>
      <c r="O142" s="53"/>
      <c r="P142" s="53"/>
      <c r="Q142" s="53"/>
      <c r="R142" s="53"/>
    </row>
    <row r="143" spans="2:18" x14ac:dyDescent="0.3">
      <c r="B143" s="50" t="s">
        <v>202</v>
      </c>
      <c r="C143" s="8" t="s">
        <v>203</v>
      </c>
      <c r="D143" s="9">
        <v>-6.3520000000000003</v>
      </c>
      <c r="E143" s="9">
        <v>-1.615</v>
      </c>
      <c r="F143" s="9">
        <v>-15.679</v>
      </c>
      <c r="G143" s="9">
        <v>43.274999999999999</v>
      </c>
      <c r="H143" s="9">
        <v>-248.04900000000001</v>
      </c>
      <c r="I143" s="9">
        <v>90.127325999999996</v>
      </c>
      <c r="J143" s="9">
        <v>-20.021000000000001</v>
      </c>
      <c r="L143" s="9">
        <f t="shared" ref="L143:L149" si="89">IFERROR(D143/L$66*1000,0)</f>
        <v>-21.392967802775157</v>
      </c>
      <c r="M143" s="9">
        <f t="shared" ref="M143:M149" si="90">IFERROR(E143/M$66*1000,0)</f>
        <v>-5.2322944340050537</v>
      </c>
      <c r="N143" s="9">
        <f t="shared" ref="N143:N149" si="91">IFERROR(F143/N$66*1000,0)</f>
        <v>-50.593739916101974</v>
      </c>
      <c r="O143" s="9">
        <f t="shared" ref="O143:O149" si="92">IFERROR(G143/O$66*1000,0)</f>
        <v>138.94240030822579</v>
      </c>
      <c r="P143" s="9">
        <f t="shared" ref="P143:R149" si="93">IFERROR(H143/P$66*1000,0)</f>
        <v>-802.20238672746677</v>
      </c>
      <c r="Q143" s="9">
        <f t="shared" si="93"/>
        <v>282.64598739298145</v>
      </c>
      <c r="R143" s="9">
        <f t="shared" si="93"/>
        <v>-61.536806516059627</v>
      </c>
    </row>
    <row r="144" spans="2:18" x14ac:dyDescent="0.3">
      <c r="B144" s="50" t="s">
        <v>204</v>
      </c>
      <c r="C144" s="8" t="s">
        <v>205</v>
      </c>
      <c r="D144" s="9">
        <v>106.62</v>
      </c>
      <c r="E144" s="9">
        <v>-15.68</v>
      </c>
      <c r="F144" s="9">
        <v>-492.33699999999999</v>
      </c>
      <c r="G144" s="9">
        <v>-561.93299999999999</v>
      </c>
      <c r="H144" s="9">
        <v>-834.99400000000003</v>
      </c>
      <c r="I144" s="9">
        <v>-74.863758000000004</v>
      </c>
      <c r="J144" s="9">
        <v>-2268.3820000000001</v>
      </c>
      <c r="L144" s="9">
        <f t="shared" si="89"/>
        <v>359.08662265930218</v>
      </c>
      <c r="M144" s="9">
        <f t="shared" si="90"/>
        <v>-50.800233266377241</v>
      </c>
      <c r="N144" s="9">
        <f t="shared" si="91"/>
        <v>-1588.6963536624719</v>
      </c>
      <c r="O144" s="9">
        <f t="shared" si="92"/>
        <v>-1804.1899441340784</v>
      </c>
      <c r="P144" s="9">
        <f t="shared" si="93"/>
        <v>-2700.4107241033607</v>
      </c>
      <c r="Q144" s="9">
        <f t="shared" si="93"/>
        <v>-234.77830463825384</v>
      </c>
      <c r="R144" s="9">
        <f t="shared" si="93"/>
        <v>-6972.1284770247421</v>
      </c>
    </row>
    <row r="145" spans="2:18" x14ac:dyDescent="0.3">
      <c r="B145" s="50" t="s">
        <v>206</v>
      </c>
      <c r="C145" s="8" t="s">
        <v>207</v>
      </c>
      <c r="D145" s="9">
        <v>157.88999999999999</v>
      </c>
      <c r="E145" s="9">
        <v>-122.932</v>
      </c>
      <c r="F145" s="9">
        <v>-100.039</v>
      </c>
      <c r="G145" s="9">
        <v>197.66200000000001</v>
      </c>
      <c r="H145" s="9">
        <v>676.21600000000001</v>
      </c>
      <c r="I145" s="9">
        <v>-159.375</v>
      </c>
      <c r="J145" s="9">
        <v>0</v>
      </c>
      <c r="L145" s="9">
        <f t="shared" si="89"/>
        <v>531.75939647042969</v>
      </c>
      <c r="M145" s="9">
        <f t="shared" si="90"/>
        <v>-398.27642065703361</v>
      </c>
      <c r="N145" s="9">
        <f t="shared" si="91"/>
        <v>-322.81058405937404</v>
      </c>
      <c r="O145" s="9">
        <f t="shared" si="92"/>
        <v>634.63045013805947</v>
      </c>
      <c r="P145" s="9">
        <f t="shared" si="93"/>
        <v>2186.9150415575177</v>
      </c>
      <c r="Q145" s="9">
        <f t="shared" si="93"/>
        <v>-499.81183554426565</v>
      </c>
      <c r="R145" s="9">
        <f t="shared" si="93"/>
        <v>0</v>
      </c>
    </row>
    <row r="146" spans="2:18" x14ac:dyDescent="0.3">
      <c r="B146" s="50" t="s">
        <v>208</v>
      </c>
      <c r="C146" s="8" t="s">
        <v>209</v>
      </c>
      <c r="D146" s="9">
        <v>-228.40799999999999</v>
      </c>
      <c r="E146" s="9">
        <v>80.277000000000001</v>
      </c>
      <c r="F146" s="9">
        <v>540.96299999999997</v>
      </c>
      <c r="G146" s="9">
        <v>494.005</v>
      </c>
      <c r="H146" s="9">
        <v>-275.69400000000002</v>
      </c>
      <c r="I146" s="9">
        <v>-3.689937</v>
      </c>
      <c r="J146" s="9">
        <v>554.41399999999999</v>
      </c>
      <c r="K146" s="12"/>
      <c r="L146" s="9">
        <f t="shared" si="89"/>
        <v>-769.2577125151555</v>
      </c>
      <c r="M146" s="9">
        <f t="shared" si="90"/>
        <v>260.08229119419423</v>
      </c>
      <c r="N146" s="9">
        <f t="shared" si="91"/>
        <v>1745.6050338818973</v>
      </c>
      <c r="O146" s="9">
        <f t="shared" si="92"/>
        <v>1586.0945225711166</v>
      </c>
      <c r="P146" s="9">
        <f t="shared" si="93"/>
        <v>-891.60764528960908</v>
      </c>
      <c r="Q146" s="9">
        <f t="shared" si="93"/>
        <v>-11.571916454981654</v>
      </c>
      <c r="R146" s="9">
        <f t="shared" si="93"/>
        <v>1704.054095589365</v>
      </c>
    </row>
    <row r="147" spans="2:18" x14ac:dyDescent="0.3">
      <c r="B147" s="50" t="s">
        <v>210</v>
      </c>
      <c r="C147" s="8" t="s">
        <v>211</v>
      </c>
      <c r="D147" s="9">
        <v>0.4</v>
      </c>
      <c r="E147" s="9">
        <v>-0.4</v>
      </c>
      <c r="F147" s="9">
        <v>102.04600000000001</v>
      </c>
      <c r="G147" s="9">
        <v>-19.434999999999999</v>
      </c>
      <c r="H147" s="9">
        <v>264.399</v>
      </c>
      <c r="I147" s="9">
        <v>2234.4561630000003</v>
      </c>
      <c r="J147" s="9">
        <v>158.797</v>
      </c>
      <c r="L147" s="9">
        <f t="shared" si="89"/>
        <v>1.3471642193183349</v>
      </c>
      <c r="M147" s="9">
        <f t="shared" si="90"/>
        <v>-1.2959243180198277</v>
      </c>
      <c r="N147" s="9">
        <f t="shared" si="91"/>
        <v>329.28686673120365</v>
      </c>
      <c r="O147" s="9">
        <f t="shared" si="92"/>
        <v>-62.399666088743338</v>
      </c>
      <c r="P147" s="9">
        <f t="shared" si="93"/>
        <v>855.07907247501703</v>
      </c>
      <c r="Q147" s="9">
        <f t="shared" si="93"/>
        <v>7007.4204628845619</v>
      </c>
      <c r="R147" s="9">
        <f t="shared" si="93"/>
        <v>488.08052866144146</v>
      </c>
    </row>
    <row r="148" spans="2:18" x14ac:dyDescent="0.3">
      <c r="B148" s="50" t="s">
        <v>212</v>
      </c>
      <c r="C148" s="8" t="s">
        <v>213</v>
      </c>
      <c r="D148" s="9">
        <v>32.682000000000002</v>
      </c>
      <c r="E148" s="9">
        <v>82.085999999999999</v>
      </c>
      <c r="F148" s="9">
        <v>-371.80799999999999</v>
      </c>
      <c r="G148" s="9">
        <v>106.75</v>
      </c>
      <c r="H148" s="9">
        <v>532.851</v>
      </c>
      <c r="I148" s="9">
        <v>-274.87127700000002</v>
      </c>
      <c r="J148" s="9">
        <v>133.233</v>
      </c>
      <c r="L148" s="9">
        <f t="shared" si="89"/>
        <v>110.07005253940456</v>
      </c>
      <c r="M148" s="9">
        <f t="shared" si="90"/>
        <v>265.94310892243891</v>
      </c>
      <c r="N148" s="9">
        <f t="shared" si="91"/>
        <v>-1199.7676669893515</v>
      </c>
      <c r="O148" s="9">
        <f t="shared" si="92"/>
        <v>342.74064085275802</v>
      </c>
      <c r="P148" s="9">
        <f t="shared" si="93"/>
        <v>1723.2657417289222</v>
      </c>
      <c r="Q148" s="9">
        <f t="shared" si="93"/>
        <v>-862.01673722833766</v>
      </c>
      <c r="R148" s="9">
        <f t="shared" si="93"/>
        <v>409.50668510834487</v>
      </c>
    </row>
    <row r="149" spans="2:18" x14ac:dyDescent="0.3">
      <c r="B149" s="51" t="s">
        <v>214</v>
      </c>
      <c r="C149" s="19" t="s">
        <v>201</v>
      </c>
      <c r="D149" s="9">
        <v>62.832000000000001</v>
      </c>
      <c r="E149" s="9">
        <v>21.736000000000001</v>
      </c>
      <c r="F149" s="9">
        <v>-336.85399999999998</v>
      </c>
      <c r="G149" s="9">
        <f>SUM(G143:G148)</f>
        <v>260.32400000000001</v>
      </c>
      <c r="H149" s="9">
        <f>SUM(H143:H148)</f>
        <v>114.72899999999981</v>
      </c>
      <c r="I149" s="9">
        <f>SUM(I143:I148)</f>
        <v>1811.7835170000005</v>
      </c>
      <c r="J149" s="9">
        <f>SUM(J143:J148)</f>
        <v>-1441.9590000000003</v>
      </c>
      <c r="L149" s="9">
        <f t="shared" si="89"/>
        <v>211.61255557052402</v>
      </c>
      <c r="M149" s="9">
        <f t="shared" si="90"/>
        <v>70.420527441197436</v>
      </c>
      <c r="N149" s="9">
        <f t="shared" si="91"/>
        <v>-1086.9764440141983</v>
      </c>
      <c r="O149" s="9">
        <f t="shared" si="92"/>
        <v>835.81840364733841</v>
      </c>
      <c r="P149" s="9">
        <f t="shared" si="93"/>
        <v>371.03909964102013</v>
      </c>
      <c r="Q149" s="9">
        <f t="shared" si="93"/>
        <v>5681.8876564117054</v>
      </c>
      <c r="R149" s="9">
        <f t="shared" si="93"/>
        <v>-4432.0239741816513</v>
      </c>
    </row>
    <row r="150" spans="2:18" x14ac:dyDescent="0.3">
      <c r="B150" s="54"/>
      <c r="C150" s="55"/>
      <c r="D150" s="56">
        <f t="shared" ref="D150:F150" si="94">+D149+D141</f>
        <v>892.78199999999981</v>
      </c>
      <c r="E150" s="56">
        <f t="shared" si="94"/>
        <v>681.18799999999999</v>
      </c>
      <c r="F150" s="56">
        <f t="shared" si="94"/>
        <v>1031.6409999999998</v>
      </c>
      <c r="G150" s="56">
        <f>+G149+G141</f>
        <v>2295.8379999999997</v>
      </c>
      <c r="H150" s="56">
        <f>+H149+H141</f>
        <v>1245.6579999999994</v>
      </c>
      <c r="I150" s="56">
        <f>+I149+I141</f>
        <v>3127.1705330000004</v>
      </c>
      <c r="J150" s="56">
        <f>+J149+J141</f>
        <v>505.9022109999969</v>
      </c>
      <c r="L150" s="56">
        <f t="shared" ref="L150" si="95">+L149+L141</f>
        <v>3006.8099151286538</v>
      </c>
      <c r="M150" s="56">
        <f t="shared" ref="M150" si="96">+M149+M141</f>
        <v>2206.9202358582256</v>
      </c>
      <c r="N150" s="56">
        <f t="shared" ref="N150" si="97">+N149+N141</f>
        <v>3328.9480477573406</v>
      </c>
      <c r="O150" s="56">
        <f>+O149+O141</f>
        <v>7371.2129968535282</v>
      </c>
      <c r="P150" s="56">
        <f>+P149+P141</f>
        <v>4028.5178357750392</v>
      </c>
      <c r="Q150" s="56">
        <f>+Q149+Q141</f>
        <v>11118.338454542605</v>
      </c>
      <c r="R150" s="56">
        <f>+R149+R141</f>
        <v>4186.0923928077373</v>
      </c>
    </row>
    <row r="151" spans="2:18" x14ac:dyDescent="0.3">
      <c r="B151" s="50" t="s">
        <v>215</v>
      </c>
      <c r="C151" s="8" t="s">
        <v>216</v>
      </c>
      <c r="D151" s="9">
        <v>46.523000000000003</v>
      </c>
      <c r="E151" s="9">
        <v>19.047999999999998</v>
      </c>
      <c r="F151" s="9">
        <v>-21.923999999999999</v>
      </c>
      <c r="G151" s="9">
        <v>-38.972000000000001</v>
      </c>
      <c r="H151" s="9">
        <v>-50.362000000000002</v>
      </c>
      <c r="I151" s="9"/>
      <c r="J151" s="9"/>
      <c r="L151" s="9">
        <f t="shared" ref="L151:L152" si="98">IFERROR(D151/L$66*1000,0)</f>
        <v>156.68530243836722</v>
      </c>
      <c r="M151" s="9">
        <f t="shared" ref="M151:M152" si="99">IFERROR(E151/M$66*1000,0)</f>
        <v>61.711916024104184</v>
      </c>
      <c r="N151" s="9">
        <f t="shared" ref="N151:N152" si="100">IFERROR(F151/N$66*1000,0)</f>
        <v>-70.745401742497577</v>
      </c>
      <c r="O151" s="9">
        <f t="shared" ref="O151:O152" si="101">IFERROR(G151/O$66*1000,0)</f>
        <v>-125.12682206382844</v>
      </c>
      <c r="P151" s="9">
        <f t="shared" ref="P151:R152" si="102">IFERROR(H151/P$66*1000,0)</f>
        <v>-162.87312829468647</v>
      </c>
      <c r="Q151" s="9">
        <f t="shared" si="102"/>
        <v>0</v>
      </c>
      <c r="R151" s="9">
        <f t="shared" si="102"/>
        <v>0</v>
      </c>
    </row>
    <row r="152" spans="2:18" x14ac:dyDescent="0.3">
      <c r="B152" s="50" t="s">
        <v>217</v>
      </c>
      <c r="C152" s="8" t="s">
        <v>218</v>
      </c>
      <c r="D152" s="9">
        <v>-297.10700000000003</v>
      </c>
      <c r="E152" s="9">
        <v>-371.94900000000001</v>
      </c>
      <c r="F152" s="9">
        <v>-312.12599999999998</v>
      </c>
      <c r="G152" s="9">
        <v>-233.69399999999999</v>
      </c>
      <c r="H152" s="9">
        <v>-231.95</v>
      </c>
      <c r="I152" s="9"/>
      <c r="J152" s="9"/>
      <c r="L152" s="9">
        <f t="shared" si="98"/>
        <v>-1000.6297992725313</v>
      </c>
      <c r="M152" s="9">
        <f t="shared" si="99"/>
        <v>-1205.0443854078922</v>
      </c>
      <c r="N152" s="9">
        <f t="shared" si="100"/>
        <v>-1007.1829622458856</v>
      </c>
      <c r="O152" s="9">
        <f t="shared" si="101"/>
        <v>-750.31785783086116</v>
      </c>
      <c r="P152" s="9">
        <f t="shared" si="102"/>
        <v>-750.13744704246312</v>
      </c>
      <c r="Q152" s="9">
        <f t="shared" si="102"/>
        <v>0</v>
      </c>
      <c r="R152" s="9">
        <f t="shared" si="102"/>
        <v>0</v>
      </c>
    </row>
    <row r="153" spans="2:18" x14ac:dyDescent="0.3">
      <c r="B153" s="57" t="s">
        <v>219</v>
      </c>
      <c r="C153" s="58" t="s">
        <v>220</v>
      </c>
      <c r="D153" s="56">
        <f t="shared" ref="D153:F153" si="103">+D150+D151+D152</f>
        <v>642.19799999999987</v>
      </c>
      <c r="E153" s="56">
        <f t="shared" si="103"/>
        <v>328.28699999999998</v>
      </c>
      <c r="F153" s="56">
        <f t="shared" si="103"/>
        <v>697.59099999999989</v>
      </c>
      <c r="G153" s="56">
        <f>+G150+G151+G152</f>
        <v>2023.1719999999996</v>
      </c>
      <c r="H153" s="56">
        <f>+H150+H151+H152</f>
        <v>963.34599999999932</v>
      </c>
      <c r="I153" s="56">
        <f>+I150+I151+I152</f>
        <v>3127.1705330000004</v>
      </c>
      <c r="J153" s="56">
        <f>+J150+J151+J152</f>
        <v>505.9022109999969</v>
      </c>
      <c r="L153" s="56">
        <f t="shared" ref="L153" si="104">+L150+L151+L152</f>
        <v>2162.8654182944897</v>
      </c>
      <c r="M153" s="56">
        <f t="shared" ref="M153" si="105">+M150+M151+M152</f>
        <v>1063.5877664744376</v>
      </c>
      <c r="N153" s="56">
        <f t="shared" ref="N153" si="106">+N150+N151+N152</f>
        <v>2251.0196837689573</v>
      </c>
      <c r="O153" s="56">
        <f>+O150+O151+O152</f>
        <v>6495.7683169588381</v>
      </c>
      <c r="P153" s="56">
        <f>+P150+P151+P152</f>
        <v>3115.5072604378897</v>
      </c>
      <c r="Q153" s="56">
        <f>+Q150+Q151+Q152</f>
        <v>11118.338454542605</v>
      </c>
      <c r="R153" s="56">
        <f>+R150+R151+R152</f>
        <v>4186.0923928077373</v>
      </c>
    </row>
    <row r="154" spans="2:18" x14ac:dyDescent="0.3">
      <c r="B154" s="54" t="s">
        <v>221</v>
      </c>
      <c r="C154" s="55" t="s">
        <v>222</v>
      </c>
      <c r="D154" s="9">
        <v>-6.6139999999999999</v>
      </c>
      <c r="E154" s="9">
        <v>-9.266</v>
      </c>
      <c r="F154" s="9">
        <v>-36.585999999999999</v>
      </c>
      <c r="G154" s="9">
        <v>-115.673</v>
      </c>
      <c r="H154" s="9">
        <v>-86.578000000000003</v>
      </c>
      <c r="I154" s="9"/>
      <c r="J154" s="9"/>
      <c r="L154" s="9">
        <f t="shared" ref="L154" si="107">IFERROR(D154/L$66*1000,0)</f>
        <v>-22.275360366428668</v>
      </c>
      <c r="M154" s="9">
        <f t="shared" ref="M154" si="108">IFERROR(E154/M$66*1000,0)</f>
        <v>-30.020086826929305</v>
      </c>
      <c r="N154" s="9">
        <f t="shared" ref="N154" si="109">IFERROR(F154/N$66*1000,0)</f>
        <v>-118.05743788318813</v>
      </c>
      <c r="O154" s="9">
        <f t="shared" ref="O154" si="110">IFERROR(G154/O$66*1000,0)</f>
        <v>-371.38958453734028</v>
      </c>
      <c r="P154" s="9">
        <f>IFERROR(H154/P$66*1000,0)</f>
        <v>-279.99741276155368</v>
      </c>
      <c r="Q154" s="9">
        <f>IFERROR(I154/Q$66*1000,0)</f>
        <v>0</v>
      </c>
      <c r="R154" s="9">
        <f>IFERROR(J154/R$66*1000,0)</f>
        <v>0</v>
      </c>
    </row>
    <row r="155" spans="2:18" x14ac:dyDescent="0.3">
      <c r="B155" s="52" t="s">
        <v>223</v>
      </c>
      <c r="C155" s="6" t="s">
        <v>224</v>
      </c>
      <c r="D155" s="13">
        <f t="shared" ref="D155:F155" si="111">+D153+D154</f>
        <v>635.58399999999983</v>
      </c>
      <c r="E155" s="13">
        <f t="shared" si="111"/>
        <v>319.02099999999996</v>
      </c>
      <c r="F155" s="13">
        <f t="shared" si="111"/>
        <v>661.00499999999988</v>
      </c>
      <c r="G155" s="13">
        <f>+G153+G154</f>
        <v>1907.4989999999996</v>
      </c>
      <c r="H155" s="13">
        <f>+H153+H154</f>
        <v>876.76799999999935</v>
      </c>
      <c r="I155" s="13">
        <f>+I153+I154</f>
        <v>3127.1705330000004</v>
      </c>
      <c r="J155" s="13">
        <f>+J153+J154</f>
        <v>505.9022109999969</v>
      </c>
      <c r="L155" s="13">
        <f t="shared" ref="L155" si="112">+L153+L154</f>
        <v>2140.590057928061</v>
      </c>
      <c r="M155" s="13">
        <f t="shared" ref="M155" si="113">+M153+M154</f>
        <v>1033.5676796475082</v>
      </c>
      <c r="N155" s="13">
        <f t="shared" ref="N155" si="114">+N153+N154</f>
        <v>2132.9622458857693</v>
      </c>
      <c r="O155" s="13">
        <f>+O153+O154</f>
        <v>6124.3787324214982</v>
      </c>
      <c r="P155" s="13">
        <f>+P153+P154</f>
        <v>2835.509847676336</v>
      </c>
      <c r="Q155" s="13">
        <f>+Q153+Q154</f>
        <v>11118.338454542605</v>
      </c>
      <c r="R155" s="13">
        <f>+R153+R154</f>
        <v>4186.0923928077373</v>
      </c>
    </row>
    <row r="156" spans="2:18" x14ac:dyDescent="0.3">
      <c r="B156" s="50" t="s">
        <v>225</v>
      </c>
      <c r="C156" s="8" t="s">
        <v>226</v>
      </c>
      <c r="D156" s="9">
        <v>37.470999999999997</v>
      </c>
      <c r="E156" s="9">
        <v>25.259</v>
      </c>
      <c r="F156" s="9">
        <v>36.619999999999997</v>
      </c>
      <c r="G156" s="9">
        <v>7.6289999999999996</v>
      </c>
      <c r="H156" s="9">
        <v>22.95</v>
      </c>
      <c r="I156" s="9">
        <v>8.2543279999999992</v>
      </c>
      <c r="J156" s="9">
        <v>20.228093000000001</v>
      </c>
      <c r="L156" s="9">
        <f t="shared" ref="L156:L161" si="115">IFERROR(D156/L$66*1000,0)</f>
        <v>126.19897615519329</v>
      </c>
      <c r="M156" s="9">
        <f t="shared" ref="M156:M161" si="116">IFERROR(E156/M$66*1000,0)</f>
        <v>81.83438087215707</v>
      </c>
      <c r="N156" s="9">
        <f t="shared" ref="N156:N161" si="117">IFERROR(F156/N$66*1000,0)</f>
        <v>118.16715069377219</v>
      </c>
      <c r="O156" s="9">
        <f t="shared" ref="O156:O161" si="118">IFERROR(G156/O$66*1000,0)</f>
        <v>24.49431708726642</v>
      </c>
      <c r="P156" s="9">
        <f t="shared" ref="P156:R161" si="119">IFERROR(H156/P$66*1000,0)</f>
        <v>74.221402930047546</v>
      </c>
      <c r="Q156" s="9">
        <f t="shared" si="119"/>
        <v>25.886185592874835</v>
      </c>
      <c r="R156" s="9">
        <f t="shared" si="119"/>
        <v>62.173330259720302</v>
      </c>
    </row>
    <row r="157" spans="2:18" x14ac:dyDescent="0.3">
      <c r="B157" s="50" t="s">
        <v>227</v>
      </c>
      <c r="C157" s="8" t="s">
        <v>228</v>
      </c>
      <c r="D157" s="9">
        <v>-139.74700000000001</v>
      </c>
      <c r="E157" s="9">
        <v>-181.18899999999999</v>
      </c>
      <c r="F157" s="9">
        <v>-206.37</v>
      </c>
      <c r="G157" s="9">
        <v>-151.86500000000001</v>
      </c>
      <c r="H157" s="9">
        <v>-1529.6179999999999</v>
      </c>
      <c r="I157" s="9">
        <v>-6422.3345640000007</v>
      </c>
      <c r="J157" s="9">
        <v>-10061.722758</v>
      </c>
      <c r="L157" s="9">
        <f t="shared" si="115"/>
        <v>-470.65539539269838</v>
      </c>
      <c r="M157" s="9">
        <f t="shared" si="116"/>
        <v>-587.01807814423637</v>
      </c>
      <c r="N157" s="9">
        <f t="shared" si="117"/>
        <v>-665.92449177153924</v>
      </c>
      <c r="O157" s="9">
        <f t="shared" si="118"/>
        <v>-487.5907018557761</v>
      </c>
      <c r="P157" s="9">
        <f t="shared" si="119"/>
        <v>-4946.8581223116971</v>
      </c>
      <c r="Q157" s="9">
        <f t="shared" si="119"/>
        <v>-20140.91812964531</v>
      </c>
      <c r="R157" s="9">
        <f t="shared" si="119"/>
        <v>-30925.842194559704</v>
      </c>
    </row>
    <row r="158" spans="2:18" x14ac:dyDescent="0.3">
      <c r="B158" s="50" t="s">
        <v>229</v>
      </c>
      <c r="C158" s="8" t="s">
        <v>230</v>
      </c>
      <c r="D158" s="9">
        <v>-97.2</v>
      </c>
      <c r="E158" s="9">
        <v>0</v>
      </c>
      <c r="F158" s="9">
        <v>696.77599999999995</v>
      </c>
      <c r="G158" s="9">
        <v>0</v>
      </c>
      <c r="H158" s="11">
        <v>0</v>
      </c>
      <c r="I158" s="11">
        <v>-450.90285700000004</v>
      </c>
      <c r="J158" s="11">
        <v>-2753.1030000000001</v>
      </c>
      <c r="L158" s="9">
        <f t="shared" si="115"/>
        <v>-327.36090529435535</v>
      </c>
      <c r="M158" s="9">
        <f t="shared" si="116"/>
        <v>0</v>
      </c>
      <c r="N158" s="9">
        <f t="shared" si="117"/>
        <v>2248.3898031623103</v>
      </c>
      <c r="O158" s="9">
        <f t="shared" si="118"/>
        <v>0</v>
      </c>
      <c r="P158" s="9">
        <f t="shared" si="119"/>
        <v>0</v>
      </c>
      <c r="Q158" s="9">
        <f t="shared" si="119"/>
        <v>-1414.0648446075204</v>
      </c>
      <c r="R158" s="9">
        <f t="shared" si="119"/>
        <v>-8461.973259566621</v>
      </c>
    </row>
    <row r="159" spans="2:18" x14ac:dyDescent="0.3">
      <c r="B159" s="50" t="s">
        <v>231</v>
      </c>
      <c r="C159" s="8" t="s">
        <v>232</v>
      </c>
      <c r="D159" s="9">
        <v>0.72899999999999998</v>
      </c>
      <c r="E159" s="9">
        <v>29.62</v>
      </c>
      <c r="F159" s="9">
        <v>21.923999999999999</v>
      </c>
      <c r="G159" s="9">
        <v>188.74799999999999</v>
      </c>
      <c r="H159" s="9">
        <v>102.581</v>
      </c>
      <c r="I159" s="9">
        <v>1.2130000000000001</v>
      </c>
      <c r="J159" s="9">
        <v>0</v>
      </c>
      <c r="L159" s="9">
        <f t="shared" si="115"/>
        <v>2.4552067897076655</v>
      </c>
      <c r="M159" s="9">
        <f t="shared" si="116"/>
        <v>95.963195749368239</v>
      </c>
      <c r="N159" s="9">
        <f t="shared" si="117"/>
        <v>70.745401742497577</v>
      </c>
      <c r="O159" s="9">
        <f t="shared" si="118"/>
        <v>606.01040261991909</v>
      </c>
      <c r="P159" s="9">
        <f t="shared" si="119"/>
        <v>331.75188383299383</v>
      </c>
      <c r="Q159" s="9">
        <f t="shared" si="119"/>
        <v>3.804058080095337</v>
      </c>
      <c r="R159" s="9">
        <f t="shared" si="119"/>
        <v>0</v>
      </c>
    </row>
    <row r="160" spans="2:18" x14ac:dyDescent="0.3">
      <c r="B160" s="50" t="s">
        <v>233</v>
      </c>
      <c r="C160" s="8" t="s">
        <v>234</v>
      </c>
      <c r="D160" s="9">
        <v>0</v>
      </c>
      <c r="E160" s="9">
        <v>0</v>
      </c>
      <c r="F160" s="9">
        <v>-168</v>
      </c>
      <c r="G160" s="9">
        <v>-181.03399999999999</v>
      </c>
      <c r="H160" s="11">
        <v>0</v>
      </c>
      <c r="I160" s="11">
        <v>-22.571347000000003</v>
      </c>
      <c r="J160" s="11">
        <v>25</v>
      </c>
      <c r="L160" s="9">
        <f t="shared" si="115"/>
        <v>0</v>
      </c>
      <c r="M160" s="9">
        <f t="shared" si="116"/>
        <v>0</v>
      </c>
      <c r="N160" s="9">
        <f t="shared" si="117"/>
        <v>-542.11035818005814</v>
      </c>
      <c r="O160" s="9">
        <f t="shared" si="118"/>
        <v>-581.24317729403447</v>
      </c>
      <c r="P160" s="9">
        <f t="shared" si="119"/>
        <v>0</v>
      </c>
      <c r="Q160" s="9">
        <f t="shared" si="119"/>
        <v>-70.785420390754865</v>
      </c>
      <c r="R160" s="9">
        <f t="shared" si="119"/>
        <v>76.840325802981411</v>
      </c>
    </row>
    <row r="161" spans="2:18" x14ac:dyDescent="0.3">
      <c r="B161" s="50" t="s">
        <v>235</v>
      </c>
      <c r="C161" s="8" t="s">
        <v>236</v>
      </c>
      <c r="D161" s="9">
        <v>0</v>
      </c>
      <c r="E161" s="9">
        <v>0</v>
      </c>
      <c r="F161" s="9">
        <v>162.9</v>
      </c>
      <c r="G161" s="9">
        <v>0</v>
      </c>
      <c r="H161" s="9">
        <v>0.44800000000000001</v>
      </c>
      <c r="I161" s="9">
        <v>0</v>
      </c>
      <c r="J161" s="9">
        <v>275.58199999999999</v>
      </c>
      <c r="L161" s="9">
        <f t="shared" si="115"/>
        <v>0</v>
      </c>
      <c r="M161" s="9">
        <f t="shared" si="116"/>
        <v>0</v>
      </c>
      <c r="N161" s="9">
        <f t="shared" si="117"/>
        <v>525.65343659244922</v>
      </c>
      <c r="O161" s="9">
        <f t="shared" si="118"/>
        <v>0</v>
      </c>
      <c r="P161" s="9">
        <f t="shared" si="119"/>
        <v>1.4488535299634555</v>
      </c>
      <c r="Q161" s="9">
        <f t="shared" si="119"/>
        <v>0</v>
      </c>
      <c r="R161" s="9">
        <f t="shared" si="119"/>
        <v>847.0324266174888</v>
      </c>
    </row>
    <row r="162" spans="2:18" x14ac:dyDescent="0.3">
      <c r="B162" s="52" t="s">
        <v>237</v>
      </c>
      <c r="C162" s="6" t="s">
        <v>238</v>
      </c>
      <c r="D162" s="13">
        <f t="shared" ref="D162:F162" si="120">SUM(D156:D161)</f>
        <v>-198.74699999999999</v>
      </c>
      <c r="E162" s="13">
        <f t="shared" si="120"/>
        <v>-126.31</v>
      </c>
      <c r="F162" s="13">
        <f t="shared" si="120"/>
        <v>543.84999999999991</v>
      </c>
      <c r="G162" s="13">
        <f>SUM(G156:G161)</f>
        <v>-136.52200000000002</v>
      </c>
      <c r="H162" s="13">
        <f>SUM(H156:H161)</f>
        <v>-1403.6389999999999</v>
      </c>
      <c r="I162" s="13">
        <f>SUM(I156:I161)</f>
        <v>-6886.3414400000011</v>
      </c>
      <c r="J162" s="13">
        <f>SUM(J156:J161)</f>
        <v>-12494.015665000001</v>
      </c>
      <c r="L162" s="13">
        <f t="shared" ref="L162" si="121">SUM(L156:L161)</f>
        <v>-669.3621177421528</v>
      </c>
      <c r="M162" s="13">
        <f t="shared" ref="M162" si="122">SUM(M156:M161)</f>
        <v>-409.22050152271106</v>
      </c>
      <c r="N162" s="13">
        <f t="shared" ref="N162" si="123">SUM(N156:N161)</f>
        <v>1754.9209422394317</v>
      </c>
      <c r="O162" s="13">
        <f>SUM(O156:O161)</f>
        <v>-438.32915944262504</v>
      </c>
      <c r="P162" s="13">
        <f>SUM(P156:P161)</f>
        <v>-4539.4359820186919</v>
      </c>
      <c r="Q162" s="13">
        <f>SUM(Q156:Q161)</f>
        <v>-21596.078150970618</v>
      </c>
      <c r="R162" s="13">
        <f>SUM(R156:R161)</f>
        <v>-38401.769371446142</v>
      </c>
    </row>
    <row r="163" spans="2:18" x14ac:dyDescent="0.3">
      <c r="B163" s="50" t="s">
        <v>239</v>
      </c>
      <c r="C163" s="8" t="s">
        <v>24</v>
      </c>
      <c r="D163" s="9">
        <v>500</v>
      </c>
      <c r="E163" s="9">
        <v>43.064999999999998</v>
      </c>
      <c r="F163" s="9">
        <v>52.3</v>
      </c>
      <c r="G163" s="9">
        <v>0</v>
      </c>
      <c r="H163" s="9">
        <v>189</v>
      </c>
      <c r="I163" s="9">
        <v>3742.6226150000002</v>
      </c>
      <c r="J163" s="9">
        <v>3267.4789999999998</v>
      </c>
      <c r="L163" s="9">
        <f t="shared" ref="L163:L170" si="124">IFERROR(D163/L$66*1000,0)</f>
        <v>1683.9552741479185</v>
      </c>
      <c r="M163" s="9">
        <f t="shared" ref="M163:M170" si="125">IFERROR(E163/M$66*1000,0)</f>
        <v>139.52245188880968</v>
      </c>
      <c r="N163" s="9">
        <f t="shared" ref="N163:N170" si="126">IFERROR(F163/N$66*1000,0)</f>
        <v>168.76411745724428</v>
      </c>
      <c r="O163" s="9">
        <f t="shared" ref="O163:O170" si="127">IFERROR(G163/O$66*1000,0)</f>
        <v>0</v>
      </c>
      <c r="P163" s="9">
        <f t="shared" ref="P163:R170" si="128">IFERROR(H163/P$66*1000,0)</f>
        <v>611.23508295333272</v>
      </c>
      <c r="Q163" s="9">
        <f t="shared" si="128"/>
        <v>11737.142456173362</v>
      </c>
      <c r="R163" s="9">
        <f t="shared" si="128"/>
        <v>10042.966036575994</v>
      </c>
    </row>
    <row r="164" spans="2:18" x14ac:dyDescent="0.3">
      <c r="B164" s="50" t="s">
        <v>240</v>
      </c>
      <c r="C164" s="8" t="s">
        <v>241</v>
      </c>
      <c r="D164" s="9">
        <v>-986.93600000000004</v>
      </c>
      <c r="E164" s="9">
        <v>-848.23800000000006</v>
      </c>
      <c r="F164" s="9">
        <v>-1033.777</v>
      </c>
      <c r="G164" s="9">
        <v>-719.26300000000003</v>
      </c>
      <c r="H164" s="9">
        <v>-320.14</v>
      </c>
      <c r="I164" s="9">
        <v>0</v>
      </c>
      <c r="J164" s="9">
        <v>-1013.026</v>
      </c>
      <c r="L164" s="9">
        <f t="shared" si="124"/>
        <v>-3323.9121648929004</v>
      </c>
      <c r="M164" s="9">
        <f t="shared" si="125"/>
        <v>-2748.1306291712563</v>
      </c>
      <c r="N164" s="9">
        <f t="shared" si="126"/>
        <v>-3335.8405937399166</v>
      </c>
      <c r="O164" s="9">
        <f t="shared" si="127"/>
        <v>-2309.3270403904194</v>
      </c>
      <c r="P164" s="9">
        <f t="shared" si="128"/>
        <v>-1035.3481452734388</v>
      </c>
      <c r="Q164" s="9">
        <f t="shared" si="128"/>
        <v>0</v>
      </c>
      <c r="R164" s="9">
        <f t="shared" si="128"/>
        <v>-3113.6499154756411</v>
      </c>
    </row>
    <row r="165" spans="2:18" x14ac:dyDescent="0.3">
      <c r="B165" s="50" t="s">
        <v>242</v>
      </c>
      <c r="C165" s="8" t="s">
        <v>243</v>
      </c>
      <c r="D165" s="9" t="s">
        <v>12</v>
      </c>
      <c r="E165" s="9">
        <v>2655.1289999999999</v>
      </c>
      <c r="F165" s="9" t="s">
        <v>12</v>
      </c>
      <c r="G165" s="9">
        <v>0</v>
      </c>
      <c r="H165" s="9">
        <v>2630.623</v>
      </c>
      <c r="I165" s="9">
        <v>0</v>
      </c>
      <c r="J165" s="9">
        <v>10289.245999999999</v>
      </c>
      <c r="L165" s="9">
        <f t="shared" si="124"/>
        <v>0</v>
      </c>
      <c r="M165" s="9">
        <f t="shared" si="125"/>
        <v>8602.1155964491663</v>
      </c>
      <c r="N165" s="9">
        <f t="shared" si="126"/>
        <v>0</v>
      </c>
      <c r="O165" s="9">
        <f t="shared" si="127"/>
        <v>0</v>
      </c>
      <c r="P165" s="9">
        <f t="shared" si="128"/>
        <v>8507.5612043594974</v>
      </c>
      <c r="Q165" s="9">
        <f t="shared" si="128"/>
        <v>0</v>
      </c>
      <c r="R165" s="9">
        <f t="shared" si="128"/>
        <v>31625.160596280923</v>
      </c>
    </row>
    <row r="166" spans="2:18" x14ac:dyDescent="0.3">
      <c r="B166" s="50" t="s">
        <v>244</v>
      </c>
      <c r="C166" s="8" t="s">
        <v>245</v>
      </c>
      <c r="D166" s="9">
        <v>0</v>
      </c>
      <c r="E166" s="9">
        <v>-579.99199999999996</v>
      </c>
      <c r="F166" s="9" t="s">
        <v>12</v>
      </c>
      <c r="G166" s="9">
        <v>0</v>
      </c>
      <c r="H166" s="9">
        <v>-2636.4639999999999</v>
      </c>
      <c r="I166" s="9">
        <v>0</v>
      </c>
      <c r="J166" s="9">
        <v>1987.0609999999999</v>
      </c>
      <c r="L166" s="9">
        <f t="shared" si="124"/>
        <v>0</v>
      </c>
      <c r="M166" s="9">
        <f t="shared" si="125"/>
        <v>-1879.0643426423894</v>
      </c>
      <c r="N166" s="9">
        <f t="shared" si="126"/>
        <v>0</v>
      </c>
      <c r="O166" s="9">
        <f t="shared" si="127"/>
        <v>0</v>
      </c>
      <c r="P166" s="9">
        <f t="shared" si="128"/>
        <v>-8526.4512790660083</v>
      </c>
      <c r="Q166" s="9">
        <f t="shared" si="128"/>
        <v>0</v>
      </c>
      <c r="R166" s="9">
        <f t="shared" si="128"/>
        <v>6107.4565852159212</v>
      </c>
    </row>
    <row r="167" spans="2:18" x14ac:dyDescent="0.3">
      <c r="B167" s="50" t="s">
        <v>246</v>
      </c>
      <c r="C167" s="8" t="s">
        <v>247</v>
      </c>
      <c r="D167" s="9">
        <v>0</v>
      </c>
      <c r="E167" s="9" t="s">
        <v>12</v>
      </c>
      <c r="F167" s="9">
        <v>-365.76100000000002</v>
      </c>
      <c r="G167" s="9">
        <v>1140.0909999999999</v>
      </c>
      <c r="H167" s="11">
        <v>0</v>
      </c>
      <c r="I167" s="11">
        <v>-4.0593449999999995</v>
      </c>
      <c r="J167" s="11">
        <v>-6.1260000000000003</v>
      </c>
      <c r="L167" s="9">
        <f t="shared" si="124"/>
        <v>0</v>
      </c>
      <c r="M167" s="9">
        <f t="shared" si="125"/>
        <v>0</v>
      </c>
      <c r="N167" s="9">
        <f t="shared" si="126"/>
        <v>-1180.2549209422396</v>
      </c>
      <c r="O167" s="9">
        <f t="shared" si="127"/>
        <v>3660.4732549926152</v>
      </c>
      <c r="P167" s="9">
        <f t="shared" si="128"/>
        <v>0</v>
      </c>
      <c r="Q167" s="9">
        <f t="shared" si="128"/>
        <v>-12.730407376046664</v>
      </c>
      <c r="R167" s="9">
        <f t="shared" si="128"/>
        <v>-18.82895343476256</v>
      </c>
    </row>
    <row r="168" spans="2:18" x14ac:dyDescent="0.3">
      <c r="B168" s="50" t="s">
        <v>248</v>
      </c>
      <c r="C168" s="8"/>
      <c r="D168" s="9">
        <v>0</v>
      </c>
      <c r="E168" s="9">
        <v>0</v>
      </c>
      <c r="F168" s="9">
        <v>0</v>
      </c>
      <c r="G168" s="9">
        <v>-198.46899999999999</v>
      </c>
      <c r="H168" s="11">
        <v>-254.00700000000001</v>
      </c>
      <c r="I168" s="11">
        <v>-250.09899999999999</v>
      </c>
      <c r="J168" s="11">
        <v>-250.06800000000001</v>
      </c>
      <c r="L168" s="9">
        <f t="shared" si="124"/>
        <v>0</v>
      </c>
      <c r="M168" s="9">
        <f t="shared" si="125"/>
        <v>0</v>
      </c>
      <c r="N168" s="9">
        <f t="shared" si="126"/>
        <v>0</v>
      </c>
      <c r="O168" s="9">
        <f t="shared" si="127"/>
        <v>-637.22147306235161</v>
      </c>
      <c r="P168" s="9">
        <f t="shared" si="128"/>
        <v>-821.47084505675764</v>
      </c>
      <c r="Q168" s="9">
        <f t="shared" si="128"/>
        <v>-784.32903691159402</v>
      </c>
      <c r="R168" s="9">
        <f t="shared" si="128"/>
        <v>-768.6122637159981</v>
      </c>
    </row>
    <row r="169" spans="2:18" x14ac:dyDescent="0.3">
      <c r="B169" s="50" t="s">
        <v>249</v>
      </c>
      <c r="C169" s="8" t="s">
        <v>250</v>
      </c>
      <c r="D169" s="9" t="s">
        <v>12</v>
      </c>
      <c r="E169" s="9" t="s">
        <v>12</v>
      </c>
      <c r="F169" s="9">
        <v>-185.221</v>
      </c>
      <c r="G169" s="9">
        <v>-1.302</v>
      </c>
      <c r="H169" s="9">
        <v>-2.4289999999999998</v>
      </c>
      <c r="I169" s="9">
        <v>0</v>
      </c>
      <c r="J169" s="9">
        <v>0</v>
      </c>
      <c r="L169" s="9">
        <f t="shared" si="124"/>
        <v>0</v>
      </c>
      <c r="M169" s="9">
        <f t="shared" si="125"/>
        <v>0</v>
      </c>
      <c r="N169" s="9">
        <f t="shared" si="126"/>
        <v>-597.67989674088415</v>
      </c>
      <c r="O169" s="9">
        <f t="shared" si="127"/>
        <v>-4.1803120785975736</v>
      </c>
      <c r="P169" s="9">
        <f t="shared" si="128"/>
        <v>-7.8555027327706082</v>
      </c>
      <c r="Q169" s="9">
        <f t="shared" si="128"/>
        <v>0</v>
      </c>
      <c r="R169" s="9">
        <f t="shared" si="128"/>
        <v>0</v>
      </c>
    </row>
    <row r="170" spans="2:18" x14ac:dyDescent="0.3">
      <c r="B170" s="50" t="s">
        <v>251</v>
      </c>
      <c r="C170" s="8" t="s">
        <v>252</v>
      </c>
      <c r="D170" s="9">
        <v>-12.766999999999999</v>
      </c>
      <c r="E170" s="9">
        <v>-88.593999999999994</v>
      </c>
      <c r="F170" s="9" t="s">
        <v>12</v>
      </c>
      <c r="G170" s="9">
        <v>0</v>
      </c>
      <c r="H170" s="9">
        <v>0</v>
      </c>
      <c r="I170" s="9">
        <v>0</v>
      </c>
      <c r="J170" s="9">
        <v>0</v>
      </c>
      <c r="L170" s="9">
        <f t="shared" si="124"/>
        <v>-42.998113970092945</v>
      </c>
      <c r="M170" s="9">
        <f t="shared" si="125"/>
        <v>-287.02779757662148</v>
      </c>
      <c r="N170" s="9">
        <f t="shared" si="126"/>
        <v>0</v>
      </c>
      <c r="O170" s="9">
        <f t="shared" si="127"/>
        <v>0</v>
      </c>
      <c r="P170" s="9">
        <f t="shared" si="128"/>
        <v>0</v>
      </c>
      <c r="Q170" s="9">
        <f t="shared" si="128"/>
        <v>0</v>
      </c>
      <c r="R170" s="9">
        <f t="shared" si="128"/>
        <v>0</v>
      </c>
    </row>
    <row r="171" spans="2:18" x14ac:dyDescent="0.3">
      <c r="B171" s="52" t="s">
        <v>253</v>
      </c>
      <c r="C171" s="6" t="s">
        <v>254</v>
      </c>
      <c r="D171" s="13">
        <f t="shared" ref="D171:F171" si="129">SUM(D163:D170)</f>
        <v>-499.70300000000003</v>
      </c>
      <c r="E171" s="13">
        <f t="shared" si="129"/>
        <v>1181.3699999999999</v>
      </c>
      <c r="F171" s="13">
        <f t="shared" si="129"/>
        <v>-1532.4590000000001</v>
      </c>
      <c r="G171" s="13">
        <f>SUM(G163:G170)</f>
        <v>221.05699999999987</v>
      </c>
      <c r="H171" s="13">
        <f>SUM(H163:H170)</f>
        <v>-393.41699999999975</v>
      </c>
      <c r="I171" s="13">
        <f>SUM(I163:I170)</f>
        <v>3488.4642699999999</v>
      </c>
      <c r="J171" s="13">
        <f>SUM(J163:J170)</f>
        <v>14274.565999999999</v>
      </c>
      <c r="L171" s="13">
        <f t="shared" ref="L171" si="130">SUM(L163:L170)</f>
        <v>-1682.9550047150747</v>
      </c>
      <c r="M171" s="13">
        <f t="shared" ref="M171" si="131">SUM(M163:M170)</f>
        <v>3827.4152789477089</v>
      </c>
      <c r="N171" s="13">
        <f t="shared" ref="N171" si="132">SUM(N163:N170)</f>
        <v>-4945.0112939657965</v>
      </c>
      <c r="O171" s="13">
        <f>SUM(O163:O170)</f>
        <v>709.74442946124668</v>
      </c>
      <c r="P171" s="13">
        <f>SUM(P163:P170)</f>
        <v>-1272.3294848161454</v>
      </c>
      <c r="Q171" s="13">
        <f>SUM(Q163:Q170)</f>
        <v>10940.083011885721</v>
      </c>
      <c r="R171" s="13">
        <f>SUM(R163:R170)</f>
        <v>43874.492085446429</v>
      </c>
    </row>
    <row r="172" spans="2:18" x14ac:dyDescent="0.3">
      <c r="B172" s="52" t="s">
        <v>255</v>
      </c>
      <c r="C172" s="6" t="s">
        <v>256</v>
      </c>
      <c r="D172" s="13">
        <f t="shared" ref="D172:F172" si="133">+D171+D162+D155</f>
        <v>-62.866000000000213</v>
      </c>
      <c r="E172" s="13">
        <f t="shared" si="133"/>
        <v>1374.0809999999999</v>
      </c>
      <c r="F172" s="13">
        <f t="shared" si="133"/>
        <v>-327.60400000000027</v>
      </c>
      <c r="G172" s="13">
        <f>+G171+G162+G155</f>
        <v>1992.0339999999994</v>
      </c>
      <c r="H172" s="13">
        <f>+H171+H162+H155</f>
        <v>-920.28800000000024</v>
      </c>
      <c r="I172" s="13">
        <f>+I171+I162+I155</f>
        <v>-270.70663700000068</v>
      </c>
      <c r="J172" s="13">
        <f>+J171+J162+J155</f>
        <v>2286.452545999995</v>
      </c>
      <c r="L172" s="13">
        <f t="shared" ref="L172" si="134">+L171+L162+L155</f>
        <v>-211.72706452916646</v>
      </c>
      <c r="M172" s="13">
        <f t="shared" ref="M172" si="135">+M171+M162+M155</f>
        <v>4451.7624570725056</v>
      </c>
      <c r="N172" s="13">
        <f t="shared" ref="N172" si="136">+N171+N162+N155</f>
        <v>-1057.1281058405957</v>
      </c>
      <c r="O172" s="13">
        <f>+O171+O162+O155</f>
        <v>6395.7940024401196</v>
      </c>
      <c r="P172" s="13">
        <f>+P171+P162+P155</f>
        <v>-2976.2556191585008</v>
      </c>
      <c r="Q172" s="13">
        <f>+Q171+Q162+Q155</f>
        <v>462.34331545770874</v>
      </c>
      <c r="R172" s="13">
        <f>+R171+R162+R155</f>
        <v>9658.8151068080242</v>
      </c>
    </row>
    <row r="173" spans="2:18" x14ac:dyDescent="0.3">
      <c r="B173" s="50" t="s">
        <v>257</v>
      </c>
      <c r="C173" s="8" t="s">
        <v>258</v>
      </c>
      <c r="D173" s="9">
        <v>940.96600000000001</v>
      </c>
      <c r="E173" s="9">
        <v>878.1</v>
      </c>
      <c r="F173" s="9">
        <v>2252.163</v>
      </c>
      <c r="G173" s="9">
        <v>1924.559</v>
      </c>
      <c r="H173" s="9">
        <v>3915.0909999999999</v>
      </c>
      <c r="I173" s="9">
        <v>2825.6979999999999</v>
      </c>
      <c r="J173" s="9">
        <v>2561.2179999999998</v>
      </c>
      <c r="L173" s="9">
        <f t="shared" ref="L173:L174" si="137">IFERROR(D173/L$66*1000,0)</f>
        <v>3169.0893169877404</v>
      </c>
      <c r="M173" s="9">
        <f t="shared" ref="M173:M174" si="138">IFERROR(E173/M$66*1000,0)</f>
        <v>2844.8778591330265</v>
      </c>
      <c r="N173" s="9">
        <f t="shared" ref="N173:N174" si="139">IFERROR(F173/N$66*1000,0)</f>
        <v>7267.386253630204</v>
      </c>
      <c r="O173" s="9">
        <f t="shared" ref="O173:O174" si="140">IFERROR(G173/O$66*1000,0)</f>
        <v>6179.1530212547359</v>
      </c>
      <c r="P173" s="9">
        <f t="shared" ref="P173:R174" si="141">IFERROR(H173/P$66*1000,0)</f>
        <v>12661.592445263737</v>
      </c>
      <c r="Q173" s="9">
        <f t="shared" si="141"/>
        <v>8861.5987706588894</v>
      </c>
      <c r="R173" s="9">
        <f t="shared" si="141"/>
        <v>7872.1930228984156</v>
      </c>
    </row>
    <row r="174" spans="2:18" x14ac:dyDescent="0.3">
      <c r="B174" s="50" t="s">
        <v>259</v>
      </c>
      <c r="C174" s="8"/>
      <c r="D174" s="9">
        <v>0</v>
      </c>
      <c r="E174" s="9">
        <v>0</v>
      </c>
      <c r="F174" s="9">
        <v>0</v>
      </c>
      <c r="G174" s="9">
        <v>-1.5029999999999999</v>
      </c>
      <c r="H174" s="9">
        <v>-6.6509999999999998</v>
      </c>
      <c r="I174" s="9">
        <v>-6.2270000000000003</v>
      </c>
      <c r="J174" s="9">
        <v>0</v>
      </c>
      <c r="L174" s="9">
        <f t="shared" si="137"/>
        <v>0</v>
      </c>
      <c r="M174" s="9">
        <f t="shared" si="138"/>
        <v>0</v>
      </c>
      <c r="N174" s="9">
        <f t="shared" si="139"/>
        <v>0</v>
      </c>
      <c r="O174" s="9">
        <f t="shared" si="140"/>
        <v>-4.8256597958004246</v>
      </c>
      <c r="P174" s="9">
        <f t="shared" si="141"/>
        <v>-21.509653633452995</v>
      </c>
      <c r="Q174" s="9">
        <f t="shared" si="141"/>
        <v>-19.528334430959326</v>
      </c>
      <c r="R174" s="9">
        <f t="shared" si="141"/>
        <v>0</v>
      </c>
    </row>
    <row r="175" spans="2:18" ht="15" thickBot="1" x14ac:dyDescent="0.35">
      <c r="B175" s="59" t="s">
        <v>260</v>
      </c>
      <c r="C175" s="60" t="s">
        <v>261</v>
      </c>
      <c r="D175" s="61">
        <f t="shared" ref="D175:F175" si="142">+D172+D173+D174</f>
        <v>878.0999999999998</v>
      </c>
      <c r="E175" s="61">
        <f t="shared" si="142"/>
        <v>2252.181</v>
      </c>
      <c r="F175" s="61">
        <f t="shared" si="142"/>
        <v>1924.5589999999997</v>
      </c>
      <c r="G175" s="61">
        <f>+G172+G173+G174</f>
        <v>3915.0899999999992</v>
      </c>
      <c r="H175" s="61">
        <f>+H172+H173+H174</f>
        <v>2988.152</v>
      </c>
      <c r="I175" s="61">
        <f>+I172+I173+I174</f>
        <v>2548.7643629999993</v>
      </c>
      <c r="J175" s="61">
        <f>+J172+J173+J174</f>
        <v>4847.6705459999948</v>
      </c>
      <c r="L175" s="61">
        <f t="shared" ref="L175" si="143">+L172+L173+L174</f>
        <v>2957.3622524585739</v>
      </c>
      <c r="M175" s="61">
        <f t="shared" ref="M175" si="144">+M172+M173+M174</f>
        <v>7296.6403162055321</v>
      </c>
      <c r="N175" s="61">
        <f t="shared" ref="N175" si="145">+N172+N173+N174</f>
        <v>6210.2581477896083</v>
      </c>
      <c r="O175" s="61">
        <f>+O172+O173+O174</f>
        <v>12570.121363899054</v>
      </c>
      <c r="P175" s="61">
        <f>+P172+P173+P174</f>
        <v>9663.8271724717833</v>
      </c>
      <c r="Q175" s="61">
        <f>+Q172+Q173+Q174</f>
        <v>9304.413751685639</v>
      </c>
      <c r="R175" s="61">
        <f>+R172+R173+R174</f>
        <v>17531.008129706439</v>
      </c>
    </row>
  </sheetData>
  <mergeCells count="2">
    <mergeCell ref="D2:H2"/>
    <mergeCell ref="L2:P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BB84A-AA83-4A05-8D18-814F868FC511}">
  <dimension ref="A1:N140"/>
  <sheetViews>
    <sheetView topLeftCell="A4" zoomScaleNormal="100" workbookViewId="0">
      <selection activeCell="G26" sqref="A26:G28"/>
    </sheetView>
  </sheetViews>
  <sheetFormatPr defaultRowHeight="14.4" x14ac:dyDescent="0.3"/>
  <cols>
    <col min="2" max="2" width="36.5546875" style="90" customWidth="1"/>
    <col min="3" max="3" width="36.44140625" style="90" customWidth="1"/>
    <col min="4" max="4" width="13.33203125" customWidth="1"/>
    <col min="5" max="5" width="13.6640625" customWidth="1"/>
    <col min="6" max="8" width="14" customWidth="1"/>
    <col min="9" max="9" width="13.44140625" customWidth="1"/>
    <col min="11" max="11" width="12.33203125" customWidth="1"/>
    <col min="12" max="12" width="13.6640625" style="106" customWidth="1"/>
    <col min="13" max="14" width="13.33203125" style="106" bestFit="1" customWidth="1"/>
  </cols>
  <sheetData>
    <row r="1" spans="2:14" ht="18" x14ac:dyDescent="0.35">
      <c r="K1" s="306" t="s">
        <v>291</v>
      </c>
      <c r="L1" s="306"/>
    </row>
    <row r="2" spans="2:14" x14ac:dyDescent="0.3">
      <c r="J2" t="s">
        <v>321</v>
      </c>
      <c r="K2" s="188">
        <v>309.45999999999998</v>
      </c>
      <c r="L2" s="186">
        <v>314.08</v>
      </c>
      <c r="M2" s="187">
        <v>320.57</v>
      </c>
      <c r="N2" s="187">
        <v>345.15</v>
      </c>
    </row>
    <row r="3" spans="2:14" x14ac:dyDescent="0.3">
      <c r="B3" s="91" t="s">
        <v>166</v>
      </c>
      <c r="C3" s="91" t="s">
        <v>167</v>
      </c>
      <c r="D3" s="101" t="s">
        <v>169</v>
      </c>
      <c r="E3" s="101" t="s">
        <v>141</v>
      </c>
      <c r="F3" s="101" t="s">
        <v>283</v>
      </c>
      <c r="G3" s="101" t="s">
        <v>408</v>
      </c>
      <c r="K3" s="3" t="s">
        <v>169</v>
      </c>
      <c r="L3" s="101" t="s">
        <v>141</v>
      </c>
      <c r="M3" s="101" t="s">
        <v>283</v>
      </c>
      <c r="N3" s="101" t="s">
        <v>408</v>
      </c>
    </row>
    <row r="4" spans="2:14" x14ac:dyDescent="0.3">
      <c r="B4" s="91"/>
      <c r="C4" s="91"/>
      <c r="D4" s="135" t="s">
        <v>171</v>
      </c>
      <c r="E4" s="135" t="s">
        <v>171</v>
      </c>
      <c r="F4" s="135" t="s">
        <v>171</v>
      </c>
      <c r="G4" s="135" t="s">
        <v>171</v>
      </c>
      <c r="K4" s="136" t="s">
        <v>181</v>
      </c>
      <c r="L4" s="101" t="s">
        <v>181</v>
      </c>
      <c r="M4" s="135" t="s">
        <v>181</v>
      </c>
      <c r="N4" s="135" t="s">
        <v>181</v>
      </c>
    </row>
    <row r="5" spans="2:14" ht="14.4" customHeight="1" x14ac:dyDescent="0.3">
      <c r="B5" s="92" t="s">
        <v>98</v>
      </c>
      <c r="C5" s="92" t="s">
        <v>142</v>
      </c>
      <c r="D5" s="107">
        <v>8634.77</v>
      </c>
      <c r="E5" s="102">
        <v>9276.6434790000003</v>
      </c>
      <c r="F5" s="107">
        <v>12141.442588</v>
      </c>
      <c r="G5" s="107">
        <v>16163.527</v>
      </c>
      <c r="K5" s="131">
        <f t="shared" ref="K5:K14" si="0">+D5/K$2*1000</f>
        <v>27902.701479997417</v>
      </c>
      <c r="L5" s="102">
        <f t="shared" ref="L5:L14" si="1">+E5/L$2*1000</f>
        <v>29535.925493504841</v>
      </c>
      <c r="M5" s="107">
        <f t="shared" ref="M5:M14" si="2">+F5/M$2*1000</f>
        <v>37874.544055900427</v>
      </c>
      <c r="N5" s="107">
        <f t="shared" ref="N5:N14" si="3">+G5/N$2*1000</f>
        <v>46830.441836882521</v>
      </c>
    </row>
    <row r="6" spans="2:14" x14ac:dyDescent="0.3">
      <c r="B6" s="93" t="s">
        <v>170</v>
      </c>
      <c r="C6" s="93" t="s">
        <v>143</v>
      </c>
      <c r="D6" s="108">
        <v>-6551.1670000000004</v>
      </c>
      <c r="E6" s="103">
        <v>-7213.7795980000001</v>
      </c>
      <c r="F6" s="108">
        <v>-8379.8780210000004</v>
      </c>
      <c r="G6" s="108">
        <v>-10936.562</v>
      </c>
      <c r="K6" s="132">
        <f t="shared" si="0"/>
        <v>-21169.672978737159</v>
      </c>
      <c r="L6" s="103">
        <f t="shared" si="1"/>
        <v>-22967.968664034644</v>
      </c>
      <c r="M6" s="108">
        <f t="shared" si="2"/>
        <v>-26140.555950338465</v>
      </c>
      <c r="N6" s="108">
        <f t="shared" si="3"/>
        <v>-31686.403013182677</v>
      </c>
    </row>
    <row r="7" spans="2:14" x14ac:dyDescent="0.3">
      <c r="B7" s="94" t="s">
        <v>144</v>
      </c>
      <c r="C7" s="94" t="s">
        <v>145</v>
      </c>
      <c r="D7" s="109">
        <v>-1107.2819999999999</v>
      </c>
      <c r="E7" s="104">
        <v>-1245.3993559999999</v>
      </c>
      <c r="F7" s="109">
        <v>-1290.5134969999999</v>
      </c>
      <c r="G7" s="109">
        <v>-1557.479</v>
      </c>
      <c r="K7" s="133">
        <f t="shared" si="0"/>
        <v>-3578.1102565759711</v>
      </c>
      <c r="L7" s="104">
        <f t="shared" si="1"/>
        <v>-3965.2297376464594</v>
      </c>
      <c r="M7" s="109">
        <f t="shared" si="2"/>
        <v>-4025.6839286271324</v>
      </c>
      <c r="N7" s="109">
        <f t="shared" si="3"/>
        <v>-4512.4699406055342</v>
      </c>
    </row>
    <row r="8" spans="2:14" x14ac:dyDescent="0.3">
      <c r="B8" s="94" t="s">
        <v>146</v>
      </c>
      <c r="C8" s="94" t="s">
        <v>147</v>
      </c>
      <c r="D8" s="109">
        <v>-284.24700000000001</v>
      </c>
      <c r="E8" s="104">
        <v>-336.25823700000001</v>
      </c>
      <c r="F8" s="109">
        <v>-908.34394999999995</v>
      </c>
      <c r="G8" s="109">
        <v>-1303.088</v>
      </c>
      <c r="K8" s="133">
        <f t="shared" si="0"/>
        <v>-918.52581916887493</v>
      </c>
      <c r="L8" s="104">
        <f t="shared" si="1"/>
        <v>-1070.6133373662763</v>
      </c>
      <c r="M8" s="109">
        <f t="shared" si="2"/>
        <v>-2833.5276226721153</v>
      </c>
      <c r="N8" s="109">
        <f t="shared" si="3"/>
        <v>-3775.4251774590762</v>
      </c>
    </row>
    <row r="9" spans="2:14" x14ac:dyDescent="0.3">
      <c r="B9" s="94" t="s">
        <v>108</v>
      </c>
      <c r="C9" s="94" t="s">
        <v>148</v>
      </c>
      <c r="D9" s="109">
        <v>287.04899999999998</v>
      </c>
      <c r="E9" s="104">
        <v>118.66872499999999</v>
      </c>
      <c r="F9" s="109">
        <v>-348.20757500000002</v>
      </c>
      <c r="G9" s="109">
        <v>-532.10900000000004</v>
      </c>
      <c r="K9" s="133">
        <f t="shared" si="0"/>
        <v>927.58030116977966</v>
      </c>
      <c r="L9" s="104">
        <f t="shared" si="1"/>
        <v>377.82961347427408</v>
      </c>
      <c r="M9" s="109">
        <f t="shared" si="2"/>
        <v>-1086.2138534485448</v>
      </c>
      <c r="N9" s="109">
        <f t="shared" si="3"/>
        <v>-1541.6746342170075</v>
      </c>
    </row>
    <row r="10" spans="2:14" x14ac:dyDescent="0.3">
      <c r="B10" s="94" t="s">
        <v>149</v>
      </c>
      <c r="C10" s="94" t="s">
        <v>150</v>
      </c>
      <c r="D10" s="109"/>
      <c r="E10" s="104">
        <v>-22.455480999999999</v>
      </c>
      <c r="F10" s="109">
        <v>-80.143831000000006</v>
      </c>
      <c r="G10" s="109">
        <v>-0.38100000000000001</v>
      </c>
      <c r="K10" s="133">
        <f t="shared" si="0"/>
        <v>0</v>
      </c>
      <c r="L10" s="104">
        <f t="shared" si="1"/>
        <v>-71.496055145185935</v>
      </c>
      <c r="M10" s="109">
        <f t="shared" si="2"/>
        <v>-250.00415197928695</v>
      </c>
      <c r="N10" s="109">
        <f t="shared" si="3"/>
        <v>-1.1038678835289006</v>
      </c>
    </row>
    <row r="11" spans="2:14" x14ac:dyDescent="0.3">
      <c r="B11" s="87" t="s">
        <v>151</v>
      </c>
      <c r="C11" s="87" t="s">
        <v>152</v>
      </c>
      <c r="D11" s="110">
        <f>SUM(D5:D10)</f>
        <v>979.12300000000005</v>
      </c>
      <c r="E11" s="84">
        <f>SUM(E5:E10)</f>
        <v>577.41953200000034</v>
      </c>
      <c r="F11" s="110">
        <f>SUM(F5:F10)</f>
        <v>1134.3557139999996</v>
      </c>
      <c r="G11" s="110">
        <f>SUM(G5:G10)</f>
        <v>1833.9080000000001</v>
      </c>
      <c r="K11" s="110">
        <f t="shared" si="0"/>
        <v>3163.9727266851942</v>
      </c>
      <c r="L11" s="84">
        <f t="shared" si="1"/>
        <v>1838.4473127865524</v>
      </c>
      <c r="M11" s="110">
        <f t="shared" si="2"/>
        <v>3538.5585488348866</v>
      </c>
      <c r="N11" s="110">
        <f t="shared" si="3"/>
        <v>5313.3652035346959</v>
      </c>
    </row>
    <row r="12" spans="2:14" x14ac:dyDescent="0.3">
      <c r="B12" s="94" t="s">
        <v>153</v>
      </c>
      <c r="C12" s="94" t="s">
        <v>154</v>
      </c>
      <c r="D12" s="109">
        <v>-176.41499999999999</v>
      </c>
      <c r="E12" s="104">
        <v>-25.957788999999998</v>
      </c>
      <c r="F12" s="109">
        <v>-361.33734099999998</v>
      </c>
      <c r="G12" s="109">
        <v>-312</v>
      </c>
      <c r="K12" s="133">
        <f t="shared" si="0"/>
        <v>-570.07367672720227</v>
      </c>
      <c r="L12" s="104">
        <f t="shared" si="1"/>
        <v>-82.647061258278143</v>
      </c>
      <c r="M12" s="109">
        <f t="shared" si="2"/>
        <v>-1127.1714165392893</v>
      </c>
      <c r="N12" s="109">
        <f t="shared" si="3"/>
        <v>-903.95480225988706</v>
      </c>
    </row>
    <row r="13" spans="2:14" x14ac:dyDescent="0.3">
      <c r="B13" s="88" t="s">
        <v>120</v>
      </c>
      <c r="C13" s="88" t="s">
        <v>155</v>
      </c>
      <c r="D13" s="110">
        <f>+D11+D12</f>
        <v>802.70800000000008</v>
      </c>
      <c r="E13" s="84">
        <f>+E11+E12</f>
        <v>551.4617430000003</v>
      </c>
      <c r="F13" s="110">
        <f>+F11+F12</f>
        <v>773.01837299999966</v>
      </c>
      <c r="G13" s="110">
        <f>+G11+G12</f>
        <v>1521.9080000000001</v>
      </c>
      <c r="K13" s="110">
        <f t="shared" si="0"/>
        <v>2593.8990499579918</v>
      </c>
      <c r="L13" s="84">
        <f t="shared" si="1"/>
        <v>1755.800251528274</v>
      </c>
      <c r="M13" s="110">
        <f t="shared" si="2"/>
        <v>2411.3871322955974</v>
      </c>
      <c r="N13" s="110">
        <f t="shared" si="3"/>
        <v>4409.4104012748085</v>
      </c>
    </row>
    <row r="14" spans="2:14" x14ac:dyDescent="0.3">
      <c r="B14" s="94" t="s">
        <v>122</v>
      </c>
      <c r="C14" s="94" t="s">
        <v>156</v>
      </c>
      <c r="D14" s="109">
        <v>-215.85499999999999</v>
      </c>
      <c r="E14" s="104">
        <v>-200.574298</v>
      </c>
      <c r="F14" s="109">
        <v>-289.70930399999997</v>
      </c>
      <c r="G14" s="109">
        <v>-458</v>
      </c>
      <c r="K14" s="133">
        <f t="shared" si="0"/>
        <v>-697.52148904543401</v>
      </c>
      <c r="L14" s="104">
        <f t="shared" si="1"/>
        <v>-638.60894676515545</v>
      </c>
      <c r="M14" s="109">
        <f t="shared" si="2"/>
        <v>-903.73180272639354</v>
      </c>
      <c r="N14" s="109">
        <f t="shared" si="3"/>
        <v>-1326.9592930609881</v>
      </c>
    </row>
    <row r="15" spans="2:14" x14ac:dyDescent="0.3">
      <c r="B15" s="283" t="s">
        <v>412</v>
      </c>
      <c r="C15" s="284" t="s">
        <v>413</v>
      </c>
      <c r="D15" s="109"/>
      <c r="E15" s="104"/>
      <c r="F15" s="109"/>
      <c r="G15" s="109"/>
      <c r="K15" s="133"/>
      <c r="L15" s="104"/>
      <c r="M15" s="109"/>
      <c r="N15" s="109"/>
    </row>
    <row r="16" spans="2:14" ht="28.8" x14ac:dyDescent="0.3">
      <c r="B16" s="88" t="s">
        <v>124</v>
      </c>
      <c r="C16" s="88" t="s">
        <v>157</v>
      </c>
      <c r="D16" s="110">
        <f>+D13+D14</f>
        <v>586.85300000000007</v>
      </c>
      <c r="E16" s="84">
        <f>+E13+E14</f>
        <v>350.8874450000003</v>
      </c>
      <c r="F16" s="110">
        <f>+F13+F14</f>
        <v>483.30906899999968</v>
      </c>
      <c r="G16" s="110">
        <f>+G13+G14</f>
        <v>1063.9080000000001</v>
      </c>
      <c r="K16" s="110">
        <f t="shared" ref="K16:N23" si="4">+D16/K$2*1000</f>
        <v>1896.3775609125578</v>
      </c>
      <c r="L16" s="84">
        <f t="shared" si="4"/>
        <v>1117.1913047631188</v>
      </c>
      <c r="M16" s="110">
        <f t="shared" si="4"/>
        <v>1507.6553295692038</v>
      </c>
      <c r="N16" s="110">
        <f t="shared" si="4"/>
        <v>3082.451108213821</v>
      </c>
    </row>
    <row r="17" spans="2:14" x14ac:dyDescent="0.3">
      <c r="B17" s="95" t="s">
        <v>126</v>
      </c>
      <c r="C17" s="94" t="s">
        <v>158</v>
      </c>
      <c r="D17" s="109">
        <v>588.32600000000002</v>
      </c>
      <c r="E17" s="104">
        <v>351.81632500000001</v>
      </c>
      <c r="F17" s="109">
        <v>483.57687199999998</v>
      </c>
      <c r="G17" s="109">
        <v>1062</v>
      </c>
      <c r="K17" s="133">
        <f t="shared" si="4"/>
        <v>1901.1374652620696</v>
      </c>
      <c r="L17" s="104">
        <f t="shared" si="4"/>
        <v>1120.1487678298522</v>
      </c>
      <c r="M17" s="109">
        <f t="shared" si="4"/>
        <v>1508.4907258945004</v>
      </c>
      <c r="N17" s="109">
        <f t="shared" si="4"/>
        <v>3076.9230769230771</v>
      </c>
    </row>
    <row r="18" spans="2:14" ht="28.8" x14ac:dyDescent="0.3">
      <c r="B18" s="96" t="s">
        <v>159</v>
      </c>
      <c r="C18" s="96" t="s">
        <v>160</v>
      </c>
      <c r="D18" s="111">
        <v>-1.4730000000000001</v>
      </c>
      <c r="E18" s="105">
        <v>-0.92888000000000004</v>
      </c>
      <c r="F18" s="111">
        <v>-0.26780300000000001</v>
      </c>
      <c r="G18" s="111">
        <v>2</v>
      </c>
      <c r="K18" s="134">
        <f t="shared" si="4"/>
        <v>-4.7599043495120537</v>
      </c>
      <c r="L18" s="105">
        <f t="shared" si="4"/>
        <v>-2.95746306673459</v>
      </c>
      <c r="M18" s="111">
        <f t="shared" si="4"/>
        <v>-0.8353963252955674</v>
      </c>
      <c r="N18" s="111">
        <f t="shared" si="4"/>
        <v>5.7945820657685063</v>
      </c>
    </row>
    <row r="19" spans="2:14" ht="15" thickBot="1" x14ac:dyDescent="0.35">
      <c r="B19" s="94" t="s">
        <v>161</v>
      </c>
      <c r="C19" s="94" t="s">
        <v>162</v>
      </c>
      <c r="D19" s="109"/>
      <c r="E19" s="104">
        <v>-115.845702</v>
      </c>
      <c r="F19" s="109">
        <v>-1061.3122229999999</v>
      </c>
      <c r="G19" s="109">
        <v>772.60900000000004</v>
      </c>
      <c r="K19" s="133">
        <f t="shared" si="4"/>
        <v>0</v>
      </c>
      <c r="L19" s="104">
        <f t="shared" si="4"/>
        <v>-368.84138436067246</v>
      </c>
      <c r="M19" s="109">
        <f t="shared" si="4"/>
        <v>-3310.7035062544837</v>
      </c>
      <c r="N19" s="109">
        <f t="shared" si="4"/>
        <v>2238.4731276256703</v>
      </c>
    </row>
    <row r="20" spans="2:14" ht="30" thickTop="1" thickBot="1" x14ac:dyDescent="0.35">
      <c r="B20" s="89" t="s">
        <v>133</v>
      </c>
      <c r="C20" s="89" t="s">
        <v>163</v>
      </c>
      <c r="D20" s="112">
        <f>+D16+D19</f>
        <v>586.85300000000007</v>
      </c>
      <c r="E20" s="85">
        <f>+E16+E19</f>
        <v>235.04174300000028</v>
      </c>
      <c r="F20" s="112">
        <f>+F16+F19</f>
        <v>-578.00315400000022</v>
      </c>
      <c r="G20" s="112">
        <f>+G16+G19</f>
        <v>1836.5170000000003</v>
      </c>
      <c r="K20" s="112">
        <f t="shared" si="4"/>
        <v>1896.3775609125578</v>
      </c>
      <c r="L20" s="85">
        <f t="shared" si="4"/>
        <v>748.34992040244617</v>
      </c>
      <c r="M20" s="112">
        <f t="shared" si="4"/>
        <v>-1803.0481766852802</v>
      </c>
      <c r="N20" s="112">
        <f t="shared" si="4"/>
        <v>5320.9242358394904</v>
      </c>
    </row>
    <row r="21" spans="2:14" ht="15" thickTop="1" x14ac:dyDescent="0.3">
      <c r="B21" s="94" t="s">
        <v>126</v>
      </c>
      <c r="C21" s="94" t="s">
        <v>158</v>
      </c>
      <c r="D21" s="109"/>
      <c r="E21" s="104">
        <v>235.97062299999999</v>
      </c>
      <c r="F21" s="109">
        <v>-577.73535100000004</v>
      </c>
      <c r="G21" s="109">
        <v>1835</v>
      </c>
      <c r="K21" s="133">
        <f t="shared" si="4"/>
        <v>0</v>
      </c>
      <c r="L21" s="104">
        <f t="shared" si="4"/>
        <v>751.30738346917985</v>
      </c>
      <c r="M21" s="109">
        <f t="shared" si="4"/>
        <v>-1802.212780359984</v>
      </c>
      <c r="N21" s="109">
        <f t="shared" si="4"/>
        <v>5316.5290453426051</v>
      </c>
    </row>
    <row r="22" spans="2:14" ht="29.4" thickBot="1" x14ac:dyDescent="0.35">
      <c r="B22" s="94" t="s">
        <v>159</v>
      </c>
      <c r="C22" s="96" t="s">
        <v>160</v>
      </c>
      <c r="D22" s="109"/>
      <c r="E22" s="104">
        <v>-0.92888000000000004</v>
      </c>
      <c r="F22" s="109">
        <v>-0.26780300000000001</v>
      </c>
      <c r="G22" s="109">
        <v>2</v>
      </c>
      <c r="K22" s="133">
        <f t="shared" si="4"/>
        <v>0</v>
      </c>
      <c r="L22" s="104">
        <f t="shared" si="4"/>
        <v>-2.95746306673459</v>
      </c>
      <c r="M22" s="109">
        <f t="shared" si="4"/>
        <v>-0.8353963252955674</v>
      </c>
      <c r="N22" s="109">
        <f t="shared" si="4"/>
        <v>5.7945820657685063</v>
      </c>
    </row>
    <row r="23" spans="2:14" ht="15.6" thickTop="1" thickBot="1" x14ac:dyDescent="0.35">
      <c r="B23" s="89" t="s">
        <v>140</v>
      </c>
      <c r="C23" s="89" t="s">
        <v>140</v>
      </c>
      <c r="D23" s="112">
        <f>+D11-D10-D8</f>
        <v>1263.3700000000001</v>
      </c>
      <c r="E23" s="85">
        <f>+E11-E10-E8</f>
        <v>936.13325000000032</v>
      </c>
      <c r="F23" s="112">
        <f>+F11-F10-F8</f>
        <v>2122.8434949999996</v>
      </c>
      <c r="G23" s="112">
        <f>+G11-G10-G8</f>
        <v>3137.3770000000004</v>
      </c>
      <c r="K23" s="112">
        <f t="shared" si="4"/>
        <v>4082.4985458540687</v>
      </c>
      <c r="L23" s="85">
        <f t="shared" si="4"/>
        <v>2980.5567052980141</v>
      </c>
      <c r="M23" s="112">
        <f t="shared" si="4"/>
        <v>6622.090323486289</v>
      </c>
      <c r="N23" s="112">
        <f t="shared" si="4"/>
        <v>9089.8942488773027</v>
      </c>
    </row>
    <row r="24" spans="2:14" ht="15" thickTop="1" x14ac:dyDescent="0.3">
      <c r="D24" s="122"/>
      <c r="E24" s="106"/>
      <c r="F24" s="122"/>
      <c r="G24" s="122"/>
    </row>
    <row r="25" spans="2:14" x14ac:dyDescent="0.3">
      <c r="D25" s="122"/>
      <c r="E25" s="106"/>
      <c r="F25" s="122"/>
      <c r="G25" s="122"/>
    </row>
    <row r="26" spans="2:14" ht="18" x14ac:dyDescent="0.35">
      <c r="K26" s="306" t="s">
        <v>291</v>
      </c>
      <c r="L26" s="306"/>
    </row>
    <row r="27" spans="2:14" x14ac:dyDescent="0.3">
      <c r="C27" s="280" t="s">
        <v>410</v>
      </c>
      <c r="J27" t="s">
        <v>321</v>
      </c>
      <c r="K27" s="188">
        <v>308.97000000000003</v>
      </c>
      <c r="L27" s="186">
        <v>323.64999999999998</v>
      </c>
      <c r="M27" s="187"/>
      <c r="N27" s="187"/>
    </row>
    <row r="28" spans="2:14" x14ac:dyDescent="0.3">
      <c r="B28" s="91" t="s">
        <v>166</v>
      </c>
      <c r="C28" s="91" t="s">
        <v>167</v>
      </c>
      <c r="D28" s="101" t="s">
        <v>288</v>
      </c>
      <c r="E28" s="101" t="s">
        <v>289</v>
      </c>
      <c r="F28" s="101" t="s">
        <v>290</v>
      </c>
      <c r="G28" s="101" t="s">
        <v>409</v>
      </c>
      <c r="K28" s="3" t="s">
        <v>288</v>
      </c>
      <c r="L28" s="101" t="s">
        <v>289</v>
      </c>
      <c r="M28" s="101" t="s">
        <v>290</v>
      </c>
      <c r="N28" s="101" t="s">
        <v>409</v>
      </c>
    </row>
    <row r="29" spans="2:14" x14ac:dyDescent="0.3">
      <c r="B29" s="91"/>
      <c r="C29" s="91"/>
      <c r="D29" s="135" t="s">
        <v>171</v>
      </c>
      <c r="E29" s="135" t="s">
        <v>171</v>
      </c>
      <c r="F29" s="135" t="s">
        <v>171</v>
      </c>
      <c r="G29" s="135" t="s">
        <v>171</v>
      </c>
      <c r="K29" s="136" t="s">
        <v>181</v>
      </c>
      <c r="L29" s="101" t="s">
        <v>181</v>
      </c>
      <c r="M29" s="135" t="s">
        <v>181</v>
      </c>
      <c r="N29" s="135" t="s">
        <v>181</v>
      </c>
    </row>
    <row r="30" spans="2:14" x14ac:dyDescent="0.3">
      <c r="B30" s="92" t="s">
        <v>98</v>
      </c>
      <c r="C30" s="92" t="s">
        <v>142</v>
      </c>
      <c r="D30" s="107">
        <f>'éves P&amp;L_mérleg'!H69-'féléves P&amp;L_mérleg'!D5</f>
        <v>9754.5142699999997</v>
      </c>
      <c r="E30" s="102">
        <f>'éves P&amp;L_mérleg'!I69-'féléves P&amp;L_mérleg'!E5</f>
        <v>9409.1235209999995</v>
      </c>
      <c r="F30" s="107">
        <f>'éves P&amp;L_mérleg'!J69-'féléves P&amp;L_mérleg'!F5</f>
        <v>13431.907663</v>
      </c>
      <c r="G30" s="102"/>
      <c r="K30" s="131">
        <f t="shared" ref="K30:K47" si="5">+D30/K$2*1000</f>
        <v>31521.082757060685</v>
      </c>
      <c r="L30" s="102">
        <f t="shared" ref="L30:L47" si="6">+E30/L$2*1000</f>
        <v>29957.728989429444</v>
      </c>
      <c r="M30" s="107">
        <f>+F30/'éves P&amp;L_mérleg'!R$3*1000</f>
        <v>40638.71373290573</v>
      </c>
      <c r="N30" s="107">
        <f t="shared" ref="N30:N47" si="7">+G30/N$2*1000</f>
        <v>0</v>
      </c>
    </row>
    <row r="31" spans="2:14" x14ac:dyDescent="0.3">
      <c r="B31" s="93" t="s">
        <v>170</v>
      </c>
      <c r="C31" s="93" t="s">
        <v>143</v>
      </c>
      <c r="D31" s="108">
        <f>'éves P&amp;L_mérleg'!H70-'féléves P&amp;L_mérleg'!D6</f>
        <v>-8055.2179829999995</v>
      </c>
      <c r="E31" s="103">
        <f>'éves P&amp;L_mérleg'!I70-'féléves P&amp;L_mérleg'!E6</f>
        <v>-7050.5744019999993</v>
      </c>
      <c r="F31" s="108">
        <f>'éves P&amp;L_mérleg'!J70-'féléves P&amp;L_mérleg'!F6</f>
        <v>-9831.9897329999985</v>
      </c>
      <c r="G31" s="103"/>
      <c r="K31" s="132">
        <f t="shared" si="5"/>
        <v>-26029.916574032184</v>
      </c>
      <c r="L31" s="103">
        <f t="shared" si="6"/>
        <v>-22448.339282985227</v>
      </c>
      <c r="M31" s="108">
        <f>+F31/'éves P&amp;L_mérleg'!R$3*1000</f>
        <v>-29747.034167372622</v>
      </c>
      <c r="N31" s="108">
        <f t="shared" si="7"/>
        <v>0</v>
      </c>
    </row>
    <row r="32" spans="2:14" x14ac:dyDescent="0.3">
      <c r="B32" s="94" t="s">
        <v>144</v>
      </c>
      <c r="C32" s="94" t="s">
        <v>145</v>
      </c>
      <c r="D32" s="109">
        <f>'éves P&amp;L_mérleg'!H71-'féléves P&amp;L_mérleg'!D7</f>
        <v>-1046.6405560000001</v>
      </c>
      <c r="E32" s="104">
        <f>'éves P&amp;L_mérleg'!I71-'féléves P&amp;L_mérleg'!E7</f>
        <v>-1261.1346440000002</v>
      </c>
      <c r="F32" s="109">
        <f>'éves P&amp;L_mérleg'!J71-'féléves P&amp;L_mérleg'!F7</f>
        <v>-1567.6506150000005</v>
      </c>
      <c r="G32" s="104"/>
      <c r="K32" s="133">
        <f t="shared" si="5"/>
        <v>-3382.1513475085635</v>
      </c>
      <c r="L32" s="104">
        <f t="shared" si="6"/>
        <v>-4015.3293555781975</v>
      </c>
      <c r="M32" s="109">
        <f>+F32/'éves P&amp;L_mérleg'!R$3*1000</f>
        <v>-4742.9826182984407</v>
      </c>
      <c r="N32" s="109">
        <f t="shared" si="7"/>
        <v>0</v>
      </c>
    </row>
    <row r="33" spans="2:14" x14ac:dyDescent="0.3">
      <c r="B33" s="94" t="s">
        <v>146</v>
      </c>
      <c r="C33" s="94" t="s">
        <v>147</v>
      </c>
      <c r="D33" s="109">
        <f>'éves P&amp;L_mérleg'!H72-'féléves P&amp;L_mérleg'!D8</f>
        <v>-287.41808499999996</v>
      </c>
      <c r="E33" s="104">
        <f>'éves P&amp;L_mérleg'!I72-'féléves P&amp;L_mérleg'!E8</f>
        <v>-393.55976299999998</v>
      </c>
      <c r="F33" s="109">
        <f>'éves P&amp;L_mérleg'!J72-'féléves P&amp;L_mérleg'!F8</f>
        <v>-1137.4078079999999</v>
      </c>
      <c r="G33" s="104"/>
      <c r="K33" s="133">
        <f t="shared" si="5"/>
        <v>-928.77297550571961</v>
      </c>
      <c r="L33" s="104">
        <f t="shared" si="6"/>
        <v>-1253.0557915180843</v>
      </c>
      <c r="M33" s="109">
        <f>+F33/'éves P&amp;L_mérleg'!R$3*1000</f>
        <v>-3441.2677235870751</v>
      </c>
      <c r="N33" s="109">
        <f t="shared" si="7"/>
        <v>0</v>
      </c>
    </row>
    <row r="34" spans="2:14" x14ac:dyDescent="0.3">
      <c r="B34" s="94" t="s">
        <v>108</v>
      </c>
      <c r="C34" s="94" t="s">
        <v>148</v>
      </c>
      <c r="D34" s="109">
        <f>'éves P&amp;L_mérleg'!H73-'féléves P&amp;L_mérleg'!D9</f>
        <v>18.927790000000016</v>
      </c>
      <c r="E34" s="104">
        <f>'éves P&amp;L_mérleg'!I73-'féléves P&amp;L_mérleg'!E9</f>
        <v>-265.50372500000003</v>
      </c>
      <c r="F34" s="109">
        <f>'éves P&amp;L_mérleg'!J73-'féléves P&amp;L_mérleg'!F9</f>
        <v>-456.07374499999992</v>
      </c>
      <c r="G34" s="104"/>
      <c r="K34" s="133">
        <f t="shared" si="5"/>
        <v>61.163930718025</v>
      </c>
      <c r="L34" s="104">
        <f t="shared" si="6"/>
        <v>-845.33789161996958</v>
      </c>
      <c r="M34" s="109">
        <f>+F34/'éves P&amp;L_mérleg'!R$3*1000</f>
        <v>-1379.8673151397795</v>
      </c>
      <c r="N34" s="109">
        <f t="shared" si="7"/>
        <v>0</v>
      </c>
    </row>
    <row r="35" spans="2:14" x14ac:dyDescent="0.3">
      <c r="B35" s="94" t="s">
        <v>149</v>
      </c>
      <c r="C35" s="94" t="s">
        <v>150</v>
      </c>
      <c r="D35" s="109">
        <f>'éves P&amp;L_mérleg'!H74-'féléves P&amp;L_mérleg'!D10</f>
        <v>-1.35</v>
      </c>
      <c r="E35" s="104">
        <f>'éves P&amp;L_mérleg'!I74-'féléves P&amp;L_mérleg'!E10</f>
        <v>22.455480999999999</v>
      </c>
      <c r="F35" s="109">
        <f>'éves P&amp;L_mérleg'!J74-'féléves P&amp;L_mérleg'!F10</f>
        <v>80.143831000000006</v>
      </c>
      <c r="G35" s="104"/>
      <c r="K35" s="133">
        <f t="shared" si="5"/>
        <v>-4.3624377948684812</v>
      </c>
      <c r="L35" s="104">
        <f t="shared" si="6"/>
        <v>71.496055145185935</v>
      </c>
      <c r="M35" s="109">
        <f>+F35/'éves P&amp;L_mérleg'!R$3*1000</f>
        <v>242.47800738230671</v>
      </c>
      <c r="N35" s="109">
        <f t="shared" si="7"/>
        <v>0</v>
      </c>
    </row>
    <row r="36" spans="2:14" x14ac:dyDescent="0.3">
      <c r="B36" s="87" t="s">
        <v>151</v>
      </c>
      <c r="C36" s="87" t="s">
        <v>152</v>
      </c>
      <c r="D36" s="110">
        <f>'éves P&amp;L_mérleg'!H75-'féléves P&amp;L_mérleg'!D11</f>
        <v>382.81543600000009</v>
      </c>
      <c r="E36" s="84">
        <f>'éves P&amp;L_mérleg'!I75-'féléves P&amp;L_mérleg'!E11</f>
        <v>460.806468</v>
      </c>
      <c r="F36" s="110">
        <f>'éves P&amp;L_mérleg'!J75-'féléves P&amp;L_mérleg'!F11</f>
        <v>518.92959300000098</v>
      </c>
      <c r="G36" s="84"/>
      <c r="K36" s="110">
        <f t="shared" si="5"/>
        <v>1237.0433529373752</v>
      </c>
      <c r="L36" s="84">
        <f t="shared" si="6"/>
        <v>1467.1627228731534</v>
      </c>
      <c r="M36" s="110">
        <f>+F36/'éves P&amp;L_mérleg'!R$3*1000</f>
        <v>1570.0399158901155</v>
      </c>
      <c r="N36" s="110">
        <f t="shared" si="7"/>
        <v>0</v>
      </c>
    </row>
    <row r="37" spans="2:14" x14ac:dyDescent="0.3">
      <c r="B37" s="94" t="s">
        <v>153</v>
      </c>
      <c r="C37" s="94" t="s">
        <v>154</v>
      </c>
      <c r="D37" s="109">
        <f>'éves P&amp;L_mérleg'!H76-'féléves P&amp;L_mérleg'!D12</f>
        <v>-152.69403100000002</v>
      </c>
      <c r="E37" s="104">
        <f>'éves P&amp;L_mérleg'!I76-'féléves P&amp;L_mérleg'!E12</f>
        <v>-206.37521100000001</v>
      </c>
      <c r="F37" s="109">
        <f>'éves P&amp;L_mérleg'!J76-'féléves P&amp;L_mérleg'!F12</f>
        <v>-582.48294899999996</v>
      </c>
      <c r="G37" s="104"/>
      <c r="K37" s="133">
        <f t="shared" si="5"/>
        <v>-493.4208976927552</v>
      </c>
      <c r="L37" s="104">
        <f t="shared" si="6"/>
        <v>-657.07848637289862</v>
      </c>
      <c r="M37" s="109">
        <f>+F37/'éves P&amp;L_mérleg'!R$3*1000</f>
        <v>-1762.3228518697808</v>
      </c>
      <c r="N37" s="109">
        <f t="shared" si="7"/>
        <v>0</v>
      </c>
    </row>
    <row r="38" spans="2:14" x14ac:dyDescent="0.3">
      <c r="B38" s="88" t="s">
        <v>120</v>
      </c>
      <c r="C38" s="88" t="s">
        <v>155</v>
      </c>
      <c r="D38" s="110">
        <f>'éves P&amp;L_mérleg'!H77-'féléves P&amp;L_mérleg'!D13</f>
        <v>230.1214050000001</v>
      </c>
      <c r="E38" s="84">
        <f>'éves P&amp;L_mérleg'!I77-'féléves P&amp;L_mérleg'!E13</f>
        <v>254.43125700000007</v>
      </c>
      <c r="F38" s="110">
        <f>'éves P&amp;L_mérleg'!J77-'féléves P&amp;L_mérleg'!F13</f>
        <v>-63.553355999999098</v>
      </c>
      <c r="G38" s="84"/>
      <c r="K38" s="110">
        <f t="shared" si="5"/>
        <v>743.62245524462003</v>
      </c>
      <c r="L38" s="84">
        <f t="shared" si="6"/>
        <v>810.08423650025497</v>
      </c>
      <c r="M38" s="110">
        <f>+F38/'éves P&amp;L_mérleg'!R$3*1000</f>
        <v>-192.28293597966569</v>
      </c>
      <c r="N38" s="110">
        <f t="shared" si="7"/>
        <v>0</v>
      </c>
    </row>
    <row r="39" spans="2:14" x14ac:dyDescent="0.3">
      <c r="B39" s="94" t="s">
        <v>122</v>
      </c>
      <c r="C39" s="94" t="s">
        <v>156</v>
      </c>
      <c r="D39" s="109">
        <f>'éves P&amp;L_mérleg'!H78-'féléves P&amp;L_mérleg'!D14</f>
        <v>97.980283999999983</v>
      </c>
      <c r="E39" s="182">
        <f>'éves P&amp;L_mérleg'!I78-'féléves P&amp;L_mérleg'!E14</f>
        <v>-75.239702000000023</v>
      </c>
      <c r="F39" s="109">
        <f>'éves P&amp;L_mérleg'!J78-'féléves P&amp;L_mérleg'!F14</f>
        <v>-146.12516700000003</v>
      </c>
      <c r="G39" s="182"/>
      <c r="H39" s="182"/>
      <c r="K39" s="133">
        <f t="shared" si="5"/>
        <v>316.6169585729981</v>
      </c>
      <c r="L39" s="104">
        <f t="shared" si="6"/>
        <v>-239.55585201222627</v>
      </c>
      <c r="M39" s="109">
        <f>+F39/'éves P&amp;L_mérleg'!R$3*1000</f>
        <v>-442.10688309330766</v>
      </c>
      <c r="N39" s="109">
        <f t="shared" si="7"/>
        <v>0</v>
      </c>
    </row>
    <row r="40" spans="2:14" ht="28.8" x14ac:dyDescent="0.3">
      <c r="B40" s="88" t="s">
        <v>124</v>
      </c>
      <c r="C40" s="88" t="s">
        <v>157</v>
      </c>
      <c r="D40" s="110">
        <f>'éves P&amp;L_mérleg'!H80-'féléves P&amp;L_mérleg'!D16</f>
        <v>328.10168900000008</v>
      </c>
      <c r="E40" s="183">
        <f>'éves P&amp;L_mérleg'!I80-'féléves P&amp;L_mérleg'!E16</f>
        <v>179.19155500000011</v>
      </c>
      <c r="F40" s="110">
        <f>'éves P&amp;L_mérleg'!J80-'féléves P&amp;L_mérleg'!F16</f>
        <v>-209.67852299999913</v>
      </c>
      <c r="G40" s="183"/>
      <c r="H40" s="152"/>
      <c r="K40" s="110">
        <f t="shared" si="5"/>
        <v>1060.239413817618</v>
      </c>
      <c r="L40" s="84">
        <f t="shared" si="6"/>
        <v>570.52838448802891</v>
      </c>
      <c r="M40" s="110">
        <f>+F40/'éves P&amp;L_mérleg'!R$3*1000</f>
        <v>-634.3898190729733</v>
      </c>
      <c r="N40" s="110">
        <f t="shared" si="7"/>
        <v>0</v>
      </c>
    </row>
    <row r="41" spans="2:14" x14ac:dyDescent="0.3">
      <c r="B41" s="95" t="s">
        <v>126</v>
      </c>
      <c r="C41" s="94" t="s">
        <v>158</v>
      </c>
      <c r="D41" s="109">
        <f>'éves P&amp;L_mérleg'!H81-'féléves P&amp;L_mérleg'!D17</f>
        <v>324.19996700000002</v>
      </c>
      <c r="E41" s="182">
        <f>'éves P&amp;L_mérleg'!I81-'féléves P&amp;L_mérleg'!E17</f>
        <v>159.40167500000001</v>
      </c>
      <c r="F41" s="109">
        <f>'éves P&amp;L_mérleg'!J81-'féléves P&amp;L_mérleg'!F17</f>
        <v>-212.86032600000186</v>
      </c>
      <c r="G41" s="182"/>
      <c r="H41" s="182"/>
      <c r="K41" s="133">
        <f t="shared" si="5"/>
        <v>1047.6312512117884</v>
      </c>
      <c r="L41" s="104">
        <f t="shared" si="6"/>
        <v>507.5193422058075</v>
      </c>
      <c r="M41" s="109">
        <f>+F41/'éves P&amp;L_mérleg'!R$3*1000</f>
        <v>-644.01647706644633</v>
      </c>
      <c r="N41" s="109">
        <f t="shared" si="7"/>
        <v>0</v>
      </c>
    </row>
    <row r="42" spans="2:14" ht="28.8" x14ac:dyDescent="0.3">
      <c r="B42" s="96" t="s">
        <v>159</v>
      </c>
      <c r="C42" s="96" t="s">
        <v>160</v>
      </c>
      <c r="D42" s="111">
        <f>'éves P&amp;L_mérleg'!H82-'féléves P&amp;L_mérleg'!D18</f>
        <v>3.9017220000000004</v>
      </c>
      <c r="E42" s="184">
        <f>'éves P&amp;L_mérleg'!I82-'féléves P&amp;L_mérleg'!E18</f>
        <v>19.78988</v>
      </c>
      <c r="F42" s="111">
        <f>'éves P&amp;L_mérleg'!J82-'féléves P&amp;L_mérleg'!F18</f>
        <v>3.1818030000000004</v>
      </c>
      <c r="G42" s="184"/>
      <c r="H42" s="190"/>
      <c r="K42" s="134">
        <f t="shared" si="5"/>
        <v>12.608162605829511</v>
      </c>
      <c r="L42" s="105">
        <f t="shared" si="6"/>
        <v>63.009042282221095</v>
      </c>
      <c r="M42" s="111">
        <f>+F42/'éves P&amp;L_mérleg'!R$3*1000</f>
        <v>9.6266579934648462</v>
      </c>
      <c r="N42" s="111">
        <f t="shared" si="7"/>
        <v>0</v>
      </c>
    </row>
    <row r="43" spans="2:14" ht="15" thickBot="1" x14ac:dyDescent="0.35">
      <c r="B43" s="94" t="s">
        <v>161</v>
      </c>
      <c r="C43" s="94" t="s">
        <v>162</v>
      </c>
      <c r="D43" s="109">
        <f>'éves P&amp;L_mérleg'!H83-'féléves P&amp;L_mérleg'!D19</f>
        <v>-479.54411900000002</v>
      </c>
      <c r="E43" s="182">
        <f>'éves P&amp;L_mérleg'!I83-'féléves P&amp;L_mérleg'!E19</f>
        <v>-143.78629799999999</v>
      </c>
      <c r="F43" s="109">
        <f>'éves P&amp;L_mérleg'!J83-'féléves P&amp;L_mérleg'!F19</f>
        <v>-354.33777700000019</v>
      </c>
      <c r="G43" s="182"/>
      <c r="H43" s="182"/>
      <c r="K43" s="133">
        <f t="shared" si="5"/>
        <v>-1549.6158437277841</v>
      </c>
      <c r="L43" s="104">
        <f t="shared" si="6"/>
        <v>-457.80150916963828</v>
      </c>
      <c r="M43" s="109">
        <f>+F43/'éves P&amp;L_mérleg'!R$3*1000</f>
        <v>-1072.0615303158665</v>
      </c>
      <c r="N43" s="109">
        <f t="shared" si="7"/>
        <v>0</v>
      </c>
    </row>
    <row r="44" spans="2:14" ht="30" thickTop="1" thickBot="1" x14ac:dyDescent="0.35">
      <c r="B44" s="89" t="s">
        <v>133</v>
      </c>
      <c r="C44" s="89" t="s">
        <v>163</v>
      </c>
      <c r="D44" s="112">
        <f>'éves P&amp;L_mérleg'!H84-'féléves P&amp;L_mérleg'!D20</f>
        <v>-151.44242999999994</v>
      </c>
      <c r="E44" s="185">
        <f>'éves P&amp;L_mérleg'!I84-'féléves P&amp;L_mérleg'!E20</f>
        <v>35.40525700000012</v>
      </c>
      <c r="F44" s="112">
        <f>'éves P&amp;L_mérleg'!J84-'féléves P&amp;L_mérleg'!F20</f>
        <v>-564.01629999999932</v>
      </c>
      <c r="G44" s="185"/>
      <c r="H44" s="152"/>
      <c r="K44" s="112">
        <f t="shared" si="5"/>
        <v>-489.37642991016594</v>
      </c>
      <c r="L44" s="85">
        <f t="shared" si="6"/>
        <v>112.72687531839061</v>
      </c>
      <c r="M44" s="112">
        <f>+F44/'éves P&amp;L_mérleg'!R$3*1000</f>
        <v>-1706.4513493888398</v>
      </c>
      <c r="N44" s="112">
        <f t="shared" si="7"/>
        <v>0</v>
      </c>
    </row>
    <row r="45" spans="2:14" ht="15" thickTop="1" x14ac:dyDescent="0.3">
      <c r="B45" s="94" t="s">
        <v>126</v>
      </c>
      <c r="C45" s="94" t="s">
        <v>158</v>
      </c>
      <c r="D45" s="109">
        <f>'éves P&amp;L_mérleg'!H85-'féléves P&amp;L_mérleg'!D21</f>
        <v>432.98184800000001</v>
      </c>
      <c r="E45" s="182">
        <f>'éves P&amp;L_mérleg'!I85-'féléves P&amp;L_mérleg'!E21</f>
        <v>15.615377000000024</v>
      </c>
      <c r="F45" s="109">
        <f>'éves P&amp;L_mérleg'!J85-'féléves P&amp;L_mérleg'!F21</f>
        <v>829.32135100000005</v>
      </c>
      <c r="G45" s="182"/>
      <c r="H45" s="182"/>
      <c r="K45" s="133">
        <f t="shared" si="5"/>
        <v>1399.1528727460741</v>
      </c>
      <c r="L45" s="104">
        <f t="shared" si="6"/>
        <v>49.71783303616921</v>
      </c>
      <c r="M45" s="109">
        <f>+F45/'éves P&amp;L_mérleg'!R$3*1000</f>
        <v>2509.1412047682443</v>
      </c>
      <c r="N45" s="109">
        <f t="shared" si="7"/>
        <v>0</v>
      </c>
    </row>
    <row r="46" spans="2:14" ht="29.4" thickBot="1" x14ac:dyDescent="0.35">
      <c r="B46" s="94" t="s">
        <v>159</v>
      </c>
      <c r="C46" s="96" t="s">
        <v>160</v>
      </c>
      <c r="D46" s="109">
        <f>'éves P&amp;L_mérleg'!H86-'féléves P&amp;L_mérleg'!D22</f>
        <v>2.428722</v>
      </c>
      <c r="E46" s="182">
        <f>'éves P&amp;L_mérleg'!I86-'féléves P&amp;L_mérleg'!E22</f>
        <v>19.78988</v>
      </c>
      <c r="F46" s="109">
        <f>'éves P&amp;L_mérleg'!J86-'féléves P&amp;L_mérleg'!F22</f>
        <v>19.128803000000001</v>
      </c>
      <c r="G46" s="182"/>
      <c r="H46" s="182"/>
      <c r="K46" s="133">
        <f t="shared" si="5"/>
        <v>7.8482582563174574</v>
      </c>
      <c r="L46" s="104">
        <f t="shared" si="6"/>
        <v>63.009042282221095</v>
      </c>
      <c r="M46" s="109">
        <f>+F46/'éves P&amp;L_mérleg'!R$3*1000</f>
        <v>57.874872927508179</v>
      </c>
      <c r="N46" s="109">
        <f t="shared" si="7"/>
        <v>0</v>
      </c>
    </row>
    <row r="47" spans="2:14" ht="15.6" thickTop="1" thickBot="1" x14ac:dyDescent="0.35">
      <c r="B47" s="89" t="s">
        <v>140</v>
      </c>
      <c r="C47" s="89" t="s">
        <v>140</v>
      </c>
      <c r="D47" s="112">
        <f>'éves P&amp;L_mérleg'!H87-'féléves P&amp;L_mérleg'!D23</f>
        <v>671.58352099999979</v>
      </c>
      <c r="E47" s="185">
        <f>'éves P&amp;L_mérleg'!I87-'féléves P&amp;L_mérleg'!E23</f>
        <v>864.43374999999969</v>
      </c>
      <c r="F47" s="112">
        <f>'éves P&amp;L_mérleg'!J87-'féléves P&amp;L_mérleg'!F23</f>
        <v>1656.3365050000002</v>
      </c>
      <c r="G47" s="185"/>
      <c r="H47" s="152"/>
      <c r="K47" s="112">
        <f t="shared" si="5"/>
        <v>2170.1787662379625</v>
      </c>
      <c r="L47" s="85">
        <f t="shared" si="6"/>
        <v>2752.2725101884862</v>
      </c>
      <c r="M47" s="112">
        <f>+F47/'éves P&amp;L_mérleg'!R$3*1000</f>
        <v>5011.304928597363</v>
      </c>
      <c r="N47" s="112">
        <f t="shared" si="7"/>
        <v>0</v>
      </c>
    </row>
    <row r="48" spans="2:14" ht="15" thickTop="1" x14ac:dyDescent="0.3">
      <c r="B48" s="147"/>
      <c r="C48" s="147"/>
      <c r="D48" s="150"/>
      <c r="E48" s="150"/>
      <c r="F48" s="150"/>
      <c r="G48" s="150"/>
      <c r="H48" s="150"/>
      <c r="I48" s="151"/>
      <c r="J48" s="151"/>
      <c r="K48" s="152"/>
      <c r="L48" s="152"/>
      <c r="M48" s="152"/>
      <c r="N48" s="152"/>
    </row>
    <row r="49" spans="1:14" ht="18" x14ac:dyDescent="0.35">
      <c r="D49" s="122">
        <v>1000</v>
      </c>
      <c r="E49" s="106"/>
      <c r="F49" s="122"/>
      <c r="G49" s="122"/>
      <c r="H49" s="150"/>
      <c r="K49" s="306" t="s">
        <v>291</v>
      </c>
      <c r="L49" s="306"/>
    </row>
    <row r="50" spans="1:14" x14ac:dyDescent="0.3">
      <c r="D50" s="122"/>
      <c r="E50" s="106"/>
      <c r="F50" s="122"/>
      <c r="G50" s="122"/>
      <c r="H50" s="150"/>
      <c r="J50" t="s">
        <v>182</v>
      </c>
      <c r="K50" s="106">
        <v>308.87</v>
      </c>
      <c r="L50" s="106">
        <v>328.6</v>
      </c>
      <c r="M50" s="106">
        <v>322.76</v>
      </c>
      <c r="N50" s="106">
        <f>+'negyedéves P&amp;L_mérleg'!AH31</f>
        <v>356.57</v>
      </c>
    </row>
    <row r="51" spans="1:14" x14ac:dyDescent="0.3">
      <c r="A51" s="1" t="s">
        <v>0</v>
      </c>
      <c r="B51" s="153"/>
      <c r="C51" s="153" t="s">
        <v>1</v>
      </c>
      <c r="D51" s="137">
        <v>42916</v>
      </c>
      <c r="E51" s="137">
        <v>43281</v>
      </c>
      <c r="F51" s="137">
        <v>43646</v>
      </c>
      <c r="G51" s="137">
        <v>44012</v>
      </c>
      <c r="H51" s="150"/>
      <c r="I51" s="138"/>
      <c r="J51" s="138"/>
      <c r="K51" s="139">
        <v>42916</v>
      </c>
      <c r="L51" s="137">
        <v>43281</v>
      </c>
      <c r="M51" s="139">
        <v>43646</v>
      </c>
      <c r="N51" s="139">
        <v>44012</v>
      </c>
    </row>
    <row r="52" spans="1:14" ht="15" customHeight="1" thickBot="1" x14ac:dyDescent="0.35">
      <c r="B52" s="153" t="s">
        <v>93</v>
      </c>
      <c r="C52" s="154" t="s">
        <v>167</v>
      </c>
      <c r="D52" s="135" t="s">
        <v>171</v>
      </c>
      <c r="E52" s="135" t="s">
        <v>171</v>
      </c>
      <c r="F52" s="135" t="s">
        <v>171</v>
      </c>
      <c r="G52" s="135" t="s">
        <v>171</v>
      </c>
      <c r="H52" s="150"/>
      <c r="K52" s="136" t="s">
        <v>171</v>
      </c>
      <c r="L52" s="101" t="s">
        <v>171</v>
      </c>
      <c r="M52" s="101" t="s">
        <v>171</v>
      </c>
      <c r="N52" s="101" t="s">
        <v>171</v>
      </c>
    </row>
    <row r="53" spans="1:14" ht="15" thickBot="1" x14ac:dyDescent="0.35">
      <c r="B53" s="98" t="s">
        <v>4</v>
      </c>
      <c r="C53" s="98" t="s">
        <v>5</v>
      </c>
      <c r="D53" s="114">
        <f>SUM(D54:D65)</f>
        <v>6414.7109999999993</v>
      </c>
      <c r="E53" s="123">
        <f>SUM(E54:E65)</f>
        <v>8980.4130000000005</v>
      </c>
      <c r="F53" s="114">
        <f>SUM(F54:F65)</f>
        <v>24087.058890999997</v>
      </c>
      <c r="G53" s="114">
        <f>SUM(G54:G65)</f>
        <v>25768.704999999994</v>
      </c>
      <c r="H53" s="150"/>
      <c r="I53" s="141"/>
      <c r="J53" s="141"/>
      <c r="K53" s="114">
        <f t="shared" ref="K53:M53" si="8">SUM(K54:K65)</f>
        <v>19521.335970785156</v>
      </c>
      <c r="L53" s="123">
        <f t="shared" si="8"/>
        <v>29075.057467542982</v>
      </c>
      <c r="M53" s="114">
        <f t="shared" si="8"/>
        <v>74628.38917771721</v>
      </c>
      <c r="N53" s="114">
        <f t="shared" ref="N53" si="9">SUM(N54:N65)</f>
        <v>79261.327302020101</v>
      </c>
    </row>
    <row r="54" spans="1:14" ht="28.8" x14ac:dyDescent="0.3">
      <c r="B54" s="97" t="s">
        <v>6</v>
      </c>
      <c r="C54" s="97" t="s">
        <v>287</v>
      </c>
      <c r="D54" s="115">
        <v>4931.8789999999999</v>
      </c>
      <c r="E54" s="124">
        <v>6213.2340000000004</v>
      </c>
      <c r="F54" s="115">
        <v>16693.211686999999</v>
      </c>
      <c r="G54" s="115">
        <v>19841.204000000002</v>
      </c>
      <c r="H54" s="150"/>
      <c r="I54" s="141"/>
      <c r="J54" s="141"/>
      <c r="K54" s="115">
        <f t="shared" ref="K54:K59" si="10">+D54/L$50*1000</f>
        <v>15008.761412051126</v>
      </c>
      <c r="L54" s="124">
        <f t="shared" ref="L54:L59" si="11">+E54/K$50*1000</f>
        <v>20116.016447048922</v>
      </c>
      <c r="M54" s="115">
        <f t="shared" ref="M54:N60" si="12">F54/$M$50*1000</f>
        <v>51720.199798611975</v>
      </c>
      <c r="N54" s="115">
        <f t="shared" si="12"/>
        <v>61473.553104473918</v>
      </c>
    </row>
    <row r="55" spans="1:14" ht="16.2" customHeight="1" x14ac:dyDescent="0.3">
      <c r="B55" s="97" t="s">
        <v>8</v>
      </c>
      <c r="C55" s="97" t="s">
        <v>9</v>
      </c>
      <c r="D55" s="115">
        <v>32.802</v>
      </c>
      <c r="E55" s="124">
        <v>45.884</v>
      </c>
      <c r="F55" s="115">
        <v>42.802802999999997</v>
      </c>
      <c r="G55" s="115">
        <v>85.727999999999994</v>
      </c>
      <c r="H55" s="150"/>
      <c r="I55" s="141"/>
      <c r="J55" s="141"/>
      <c r="K55" s="115">
        <f t="shared" si="10"/>
        <v>99.823493609251358</v>
      </c>
      <c r="L55" s="124">
        <f t="shared" si="11"/>
        <v>148.55440800336712</v>
      </c>
      <c r="M55" s="115">
        <f t="shared" si="12"/>
        <v>132.61495538480605</v>
      </c>
      <c r="N55" s="115">
        <f t="shared" si="12"/>
        <v>265.60912132854133</v>
      </c>
    </row>
    <row r="56" spans="1:14" x14ac:dyDescent="0.3">
      <c r="B56" s="97" t="s">
        <v>10</v>
      </c>
      <c r="C56" s="97" t="s">
        <v>11</v>
      </c>
      <c r="D56" s="115">
        <v>586.62</v>
      </c>
      <c r="E56" s="124">
        <v>251.33500000000001</v>
      </c>
      <c r="F56" s="115">
        <v>254.418553</v>
      </c>
      <c r="G56" s="115">
        <v>104.376</v>
      </c>
      <c r="H56" s="150"/>
      <c r="I56" s="141"/>
      <c r="J56" s="141"/>
      <c r="K56" s="115">
        <f t="shared" si="10"/>
        <v>1785.2099817407181</v>
      </c>
      <c r="L56" s="124">
        <f t="shared" si="11"/>
        <v>813.7242205458607</v>
      </c>
      <c r="M56" s="115">
        <f t="shared" si="12"/>
        <v>788.25924216135832</v>
      </c>
      <c r="N56" s="115">
        <f t="shared" si="12"/>
        <v>323.38579749659192</v>
      </c>
    </row>
    <row r="57" spans="1:14" x14ac:dyDescent="0.3">
      <c r="B57" s="97" t="s">
        <v>13</v>
      </c>
      <c r="C57" s="97" t="s">
        <v>14</v>
      </c>
      <c r="D57" s="115">
        <v>54.981000000000002</v>
      </c>
      <c r="E57" s="124">
        <v>4.0190000000000001</v>
      </c>
      <c r="F57" s="115">
        <v>16.534867999999999</v>
      </c>
      <c r="G57" s="115">
        <v>3.0910000000000002</v>
      </c>
      <c r="H57" s="150"/>
      <c r="I57" s="141"/>
      <c r="J57" s="141"/>
      <c r="K57" s="115">
        <f t="shared" si="10"/>
        <v>167.31892878880097</v>
      </c>
      <c r="L57" s="124">
        <f t="shared" si="11"/>
        <v>13.011946773723572</v>
      </c>
      <c r="M57" s="115">
        <f t="shared" si="12"/>
        <v>51.229607138431035</v>
      </c>
      <c r="N57" s="115">
        <f t="shared" si="12"/>
        <v>9.5767753129260136</v>
      </c>
    </row>
    <row r="58" spans="1:14" x14ac:dyDescent="0.3">
      <c r="B58" s="97" t="s">
        <v>15</v>
      </c>
      <c r="C58" s="97" t="s">
        <v>16</v>
      </c>
      <c r="D58" s="115">
        <v>212.035</v>
      </c>
      <c r="E58" s="124">
        <v>581.45799999999997</v>
      </c>
      <c r="F58" s="115">
        <v>4641.5200830000003</v>
      </c>
      <c r="G58" s="115">
        <v>3003.0479999999998</v>
      </c>
      <c r="H58" s="150"/>
      <c r="I58" s="141"/>
      <c r="J58" s="141"/>
      <c r="K58" s="115">
        <f t="shared" si="10"/>
        <v>645.26780279975651</v>
      </c>
      <c r="L58" s="124">
        <f t="shared" si="11"/>
        <v>1882.5331045423638</v>
      </c>
      <c r="M58" s="115">
        <f t="shared" si="12"/>
        <v>14380.716578882144</v>
      </c>
      <c r="N58" s="115">
        <f t="shared" si="12"/>
        <v>9304.2756227537484</v>
      </c>
    </row>
    <row r="59" spans="1:14" x14ac:dyDescent="0.3">
      <c r="B59" s="97" t="s">
        <v>17</v>
      </c>
      <c r="C59" s="97" t="s">
        <v>18</v>
      </c>
      <c r="D59" s="115">
        <v>321.904</v>
      </c>
      <c r="E59" s="124">
        <v>1411.4659999999999</v>
      </c>
      <c r="F59" s="115">
        <v>1428.56431</v>
      </c>
      <c r="G59" s="115">
        <v>1359.6210000000001</v>
      </c>
      <c r="H59" s="150"/>
      <c r="I59" s="141"/>
      <c r="J59" s="141"/>
      <c r="K59" s="115">
        <f t="shared" si="10"/>
        <v>979.62264150943395</v>
      </c>
      <c r="L59" s="124">
        <f t="shared" si="11"/>
        <v>4569.7736911969432</v>
      </c>
      <c r="M59" s="115">
        <f t="shared" si="12"/>
        <v>4426.0884558185653</v>
      </c>
      <c r="N59" s="115">
        <f t="shared" si="12"/>
        <v>4212.4829594745324</v>
      </c>
    </row>
    <row r="60" spans="1:14" x14ac:dyDescent="0.3">
      <c r="B60" s="97" t="s">
        <v>285</v>
      </c>
      <c r="C60" s="97" t="s">
        <v>309</v>
      </c>
      <c r="D60" s="115"/>
      <c r="E60" s="124"/>
      <c r="F60" s="115">
        <v>630.11357999999996</v>
      </c>
      <c r="G60" s="115">
        <v>939.65700000000004</v>
      </c>
      <c r="H60" s="150"/>
      <c r="I60" s="141"/>
      <c r="J60" s="141"/>
      <c r="K60" s="115"/>
      <c r="L60" s="124"/>
      <c r="M60" s="115">
        <f t="shared" si="12"/>
        <v>1952.2666377494113</v>
      </c>
      <c r="N60" s="115">
        <f t="shared" si="12"/>
        <v>2911.3180071880038</v>
      </c>
    </row>
    <row r="61" spans="1:14" x14ac:dyDescent="0.3">
      <c r="B61" s="97" t="s">
        <v>19</v>
      </c>
      <c r="C61" s="157" t="s">
        <v>19</v>
      </c>
      <c r="D61" s="115"/>
      <c r="E61" s="124"/>
      <c r="F61" s="115"/>
      <c r="G61" s="115">
        <v>186.31899999999999</v>
      </c>
      <c r="H61" s="150"/>
      <c r="I61" s="141"/>
      <c r="J61" s="141"/>
      <c r="K61" s="115"/>
      <c r="L61" s="124"/>
      <c r="M61" s="115"/>
      <c r="N61" s="115"/>
    </row>
    <row r="62" spans="1:14" x14ac:dyDescent="0.3">
      <c r="B62" s="97" t="s">
        <v>21</v>
      </c>
      <c r="C62" s="157" t="s">
        <v>22</v>
      </c>
      <c r="D62" s="115">
        <v>60.573999999999998</v>
      </c>
      <c r="E62" s="124">
        <v>285.91199999999998</v>
      </c>
      <c r="F62" s="115">
        <v>179.63820100000001</v>
      </c>
      <c r="G62" s="115">
        <v>174.24700000000001</v>
      </c>
      <c r="H62" s="150"/>
      <c r="I62" s="141"/>
      <c r="J62" s="141"/>
      <c r="K62" s="115">
        <f>+D62/L$50*1000</f>
        <v>184.33962264150941</v>
      </c>
      <c r="L62" s="124">
        <f>+E62/K$50*1000</f>
        <v>925.67099426943366</v>
      </c>
      <c r="M62" s="115">
        <f t="shared" ref="M62:N64" si="13">F62/$M$50*1000</f>
        <v>556.56897075226175</v>
      </c>
      <c r="N62" s="115">
        <f t="shared" si="13"/>
        <v>539.86553476267193</v>
      </c>
    </row>
    <row r="63" spans="1:14" x14ac:dyDescent="0.3">
      <c r="B63" s="97" t="s">
        <v>172</v>
      </c>
      <c r="C63" s="157" t="s">
        <v>24</v>
      </c>
      <c r="D63" s="115">
        <v>213.816</v>
      </c>
      <c r="E63" s="124">
        <v>187.005</v>
      </c>
      <c r="F63" s="115">
        <v>200.15480600000001</v>
      </c>
      <c r="G63" s="115">
        <v>71.313999999999993</v>
      </c>
      <c r="H63" s="150"/>
      <c r="I63" s="141"/>
      <c r="J63" s="141"/>
      <c r="K63" s="115">
        <f>+D63/L$50*1000</f>
        <v>650.68776628119281</v>
      </c>
      <c r="L63" s="124">
        <f>+E63/K$50*1000</f>
        <v>605.44889435684911</v>
      </c>
      <c r="M63" s="115">
        <f t="shared" si="13"/>
        <v>620.13510348246382</v>
      </c>
      <c r="N63" s="115">
        <f t="shared" si="13"/>
        <v>220.95055149336969</v>
      </c>
    </row>
    <row r="64" spans="1:14" x14ac:dyDescent="0.3">
      <c r="B64" s="97" t="s">
        <v>173</v>
      </c>
      <c r="C64" s="157" t="s">
        <v>305</v>
      </c>
      <c r="D64" s="115">
        <v>0.1</v>
      </c>
      <c r="E64" s="124">
        <v>0.1</v>
      </c>
      <c r="F64" s="115">
        <v>0.1</v>
      </c>
      <c r="G64" s="115">
        <v>0.1</v>
      </c>
      <c r="H64" s="150"/>
      <c r="I64" s="141"/>
      <c r="J64" s="141"/>
      <c r="K64" s="115">
        <f>+D64/L$50*1000</f>
        <v>0.30432136335970783</v>
      </c>
      <c r="L64" s="124">
        <f>+E64/K$50*1000</f>
        <v>0.32376080551688413</v>
      </c>
      <c r="M64" s="115">
        <f t="shared" si="13"/>
        <v>0.30982773577890699</v>
      </c>
      <c r="N64" s="115">
        <f t="shared" si="13"/>
        <v>0.30982773577890699</v>
      </c>
    </row>
    <row r="65" spans="2:14" ht="15" thickBot="1" x14ac:dyDescent="0.35">
      <c r="B65" s="97"/>
      <c r="C65" s="97"/>
      <c r="D65" s="116"/>
      <c r="E65" s="125"/>
      <c r="F65" s="116"/>
      <c r="G65" s="116"/>
      <c r="H65" s="150"/>
      <c r="I65" s="141"/>
      <c r="J65" s="141"/>
      <c r="K65" s="116"/>
      <c r="L65" s="125"/>
      <c r="M65" s="116"/>
      <c r="N65" s="116"/>
    </row>
    <row r="66" spans="2:14" ht="29.4" thickBot="1" x14ac:dyDescent="0.35">
      <c r="B66" s="98" t="s">
        <v>174</v>
      </c>
      <c r="C66" s="98" t="s">
        <v>27</v>
      </c>
      <c r="D66" s="117">
        <f>SUM(D67:D75)</f>
        <v>8405.1329999999998</v>
      </c>
      <c r="E66" s="126">
        <f>SUM(E67:E75)</f>
        <v>6946.6080000000002</v>
      </c>
      <c r="F66" s="117">
        <f>SUM(F67:F75)</f>
        <v>9124.4046550000003</v>
      </c>
      <c r="G66" s="117">
        <f>SUM(G67:G75)</f>
        <v>12068.826999999999</v>
      </c>
      <c r="H66" s="150"/>
      <c r="I66" s="141"/>
      <c r="J66" s="141"/>
      <c r="K66" s="117">
        <f t="shared" ref="K66:M66" si="14">SUM(K67:K75)</f>
        <v>25578.615337796709</v>
      </c>
      <c r="L66" s="126">
        <f t="shared" si="14"/>
        <v>22490.394016900314</v>
      </c>
      <c r="M66" s="117">
        <f t="shared" si="14"/>
        <v>28269.936345891681</v>
      </c>
      <c r="N66" s="117">
        <f t="shared" ref="N66" si="15">SUM(N67:N75)</f>
        <v>37392.573429173382</v>
      </c>
    </row>
    <row r="67" spans="2:14" x14ac:dyDescent="0.3">
      <c r="B67" s="97" t="s">
        <v>28</v>
      </c>
      <c r="C67" s="97" t="s">
        <v>29</v>
      </c>
      <c r="D67" s="118">
        <v>145.86500000000001</v>
      </c>
      <c r="E67" s="127">
        <v>145.27099999999999</v>
      </c>
      <c r="F67" s="118">
        <v>298.42093699999998</v>
      </c>
      <c r="G67" s="118">
        <v>347.92899999999997</v>
      </c>
      <c r="H67" s="150"/>
      <c r="I67" s="141"/>
      <c r="J67" s="141"/>
      <c r="K67" s="118">
        <f t="shared" ref="K67:K73" si="16">+D67/L$50*1000</f>
        <v>443.89835666463784</v>
      </c>
      <c r="L67" s="127">
        <f t="shared" ref="L67:L73" si="17">+E67/K$50*1000</f>
        <v>470.33055978243272</v>
      </c>
      <c r="M67" s="118">
        <f t="shared" ref="M67:M75" si="18">F67/$M$50*1000</f>
        <v>924.59083219729837</v>
      </c>
      <c r="N67" s="118">
        <f t="shared" ref="N67:N75" si="19">G67/$M$50*1000</f>
        <v>1077.980542818193</v>
      </c>
    </row>
    <row r="68" spans="2:14" x14ac:dyDescent="0.3">
      <c r="B68" s="97" t="s">
        <v>30</v>
      </c>
      <c r="C68" s="97" t="s">
        <v>31</v>
      </c>
      <c r="D68" s="118">
        <v>3302.2649999999999</v>
      </c>
      <c r="E68" s="127">
        <v>1622.2080000000001</v>
      </c>
      <c r="F68" s="118">
        <v>2500.9883030000001</v>
      </c>
      <c r="G68" s="118">
        <v>3000.7240000000002</v>
      </c>
      <c r="H68" s="150"/>
      <c r="I68" s="141"/>
      <c r="J68" s="141"/>
      <c r="K68" s="118">
        <f t="shared" si="16"/>
        <v>10049.497869750456</v>
      </c>
      <c r="L68" s="127">
        <f t="shared" si="17"/>
        <v>5252.073687959336</v>
      </c>
      <c r="M68" s="118">
        <f t="shared" si="18"/>
        <v>7748.7554312802085</v>
      </c>
      <c r="N68" s="118">
        <f t="shared" si="19"/>
        <v>9297.0752261742491</v>
      </c>
    </row>
    <row r="69" spans="2:14" x14ac:dyDescent="0.3">
      <c r="B69" s="97" t="s">
        <v>32</v>
      </c>
      <c r="C69" s="97" t="s">
        <v>33</v>
      </c>
      <c r="D69" s="118">
        <v>830.59500000000003</v>
      </c>
      <c r="E69" s="127">
        <v>860.39099999999996</v>
      </c>
      <c r="F69" s="118">
        <v>312.42079699999999</v>
      </c>
      <c r="G69" s="118">
        <v>173.55099999999999</v>
      </c>
      <c r="H69" s="150"/>
      <c r="I69" s="141"/>
      <c r="J69" s="141"/>
      <c r="K69" s="118">
        <f t="shared" si="16"/>
        <v>2527.6780279975656</v>
      </c>
      <c r="L69" s="127">
        <f t="shared" si="17"/>
        <v>2785.6088321947741</v>
      </c>
      <c r="M69" s="118">
        <f t="shared" si="18"/>
        <v>967.96628144751514</v>
      </c>
      <c r="N69" s="118">
        <f t="shared" si="19"/>
        <v>537.7091337216508</v>
      </c>
    </row>
    <row r="70" spans="2:14" x14ac:dyDescent="0.3">
      <c r="B70" s="97" t="s">
        <v>312</v>
      </c>
      <c r="C70" s="157" t="s">
        <v>304</v>
      </c>
      <c r="D70" s="118">
        <v>461.67399999999998</v>
      </c>
      <c r="E70" s="127">
        <v>494.86399999999998</v>
      </c>
      <c r="F70" s="118">
        <v>314.78907600000002</v>
      </c>
      <c r="G70" s="118">
        <v>1010.309</v>
      </c>
      <c r="H70" s="150"/>
      <c r="I70" s="141"/>
      <c r="J70" s="141"/>
      <c r="K70" s="118">
        <f t="shared" si="16"/>
        <v>1404.9726110772976</v>
      </c>
      <c r="L70" s="127">
        <f t="shared" si="17"/>
        <v>1602.1756726130734</v>
      </c>
      <c r="M70" s="118">
        <f t="shared" si="18"/>
        <v>975.3038666501426</v>
      </c>
      <c r="N70" s="118">
        <f t="shared" si="19"/>
        <v>3130.2174990705171</v>
      </c>
    </row>
    <row r="71" spans="2:14" x14ac:dyDescent="0.3">
      <c r="B71" s="97" t="s">
        <v>34</v>
      </c>
      <c r="C71" s="97" t="s">
        <v>35</v>
      </c>
      <c r="D71" s="118">
        <v>985.30899999999997</v>
      </c>
      <c r="E71" s="127">
        <v>2323.9029999999998</v>
      </c>
      <c r="F71" s="118">
        <v>2158.7542800000001</v>
      </c>
      <c r="G71" s="118">
        <v>3004.0740000000001</v>
      </c>
      <c r="H71" s="150"/>
      <c r="I71" s="141"/>
      <c r="J71" s="141"/>
      <c r="K71" s="118">
        <f t="shared" si="16"/>
        <v>2998.5057821059036</v>
      </c>
      <c r="L71" s="127">
        <f t="shared" si="17"/>
        <v>7523.8870722310348</v>
      </c>
      <c r="M71" s="118">
        <f t="shared" si="18"/>
        <v>6688.419506754245</v>
      </c>
      <c r="N71" s="118">
        <f t="shared" si="19"/>
        <v>9307.4544553228407</v>
      </c>
    </row>
    <row r="72" spans="2:14" x14ac:dyDescent="0.3">
      <c r="B72" s="97" t="s">
        <v>36</v>
      </c>
      <c r="C72" s="97" t="s">
        <v>37</v>
      </c>
      <c r="D72" s="118">
        <v>35.066000000000003</v>
      </c>
      <c r="E72" s="127">
        <v>121.90600000000001</v>
      </c>
      <c r="F72" s="118">
        <v>145.46445499999999</v>
      </c>
      <c r="G72" s="118">
        <v>0</v>
      </c>
      <c r="H72" s="150"/>
      <c r="I72" s="141"/>
      <c r="J72" s="141"/>
      <c r="K72" s="118">
        <f t="shared" si="16"/>
        <v>106.71332927571515</v>
      </c>
      <c r="L72" s="127">
        <f t="shared" si="17"/>
        <v>394.68384757341278</v>
      </c>
      <c r="M72" s="118">
        <f t="shared" si="18"/>
        <v>450.68922728962696</v>
      </c>
      <c r="N72" s="118">
        <f t="shared" si="19"/>
        <v>0</v>
      </c>
    </row>
    <row r="73" spans="2:14" x14ac:dyDescent="0.3">
      <c r="B73" s="97" t="s">
        <v>38</v>
      </c>
      <c r="C73" s="97" t="s">
        <v>39</v>
      </c>
      <c r="D73" s="118">
        <v>2644.3589999999999</v>
      </c>
      <c r="E73" s="127">
        <v>1343.0650000000001</v>
      </c>
      <c r="F73" s="118">
        <v>2332.1740089999998</v>
      </c>
      <c r="G73" s="118">
        <v>3968.3679999999999</v>
      </c>
      <c r="H73" s="150"/>
      <c r="I73" s="141"/>
      <c r="J73" s="141"/>
      <c r="K73" s="118">
        <f t="shared" si="16"/>
        <v>8047.3493609251354</v>
      </c>
      <c r="L73" s="127">
        <f t="shared" si="17"/>
        <v>4348.3180626153398</v>
      </c>
      <c r="M73" s="118">
        <f t="shared" si="18"/>
        <v>7225.7219265088606</v>
      </c>
      <c r="N73" s="118">
        <f t="shared" si="19"/>
        <v>12295.104721774693</v>
      </c>
    </row>
    <row r="74" spans="2:14" x14ac:dyDescent="0.3">
      <c r="B74" s="97" t="s">
        <v>284</v>
      </c>
      <c r="C74" s="157" t="s">
        <v>308</v>
      </c>
      <c r="D74" s="118"/>
      <c r="E74" s="127"/>
      <c r="F74" s="118">
        <v>1056.3927980000001</v>
      </c>
      <c r="G74" s="118">
        <v>563.87199999999996</v>
      </c>
      <c r="H74" s="150"/>
      <c r="I74" s="141"/>
      <c r="J74" s="141"/>
      <c r="K74" s="118"/>
      <c r="L74" s="127"/>
      <c r="M74" s="118">
        <f t="shared" si="18"/>
        <v>3272.997886974842</v>
      </c>
      <c r="N74" s="118">
        <f t="shared" si="19"/>
        <v>1747.031850291238</v>
      </c>
    </row>
    <row r="75" spans="2:14" x14ac:dyDescent="0.3">
      <c r="B75" s="97" t="s">
        <v>40</v>
      </c>
      <c r="C75" s="97" t="s">
        <v>41</v>
      </c>
      <c r="D75" s="118" t="s">
        <v>12</v>
      </c>
      <c r="E75" s="127">
        <v>35</v>
      </c>
      <c r="F75" s="118">
        <v>5</v>
      </c>
      <c r="G75" s="118">
        <v>0</v>
      </c>
      <c r="H75" s="150"/>
      <c r="I75" s="141"/>
      <c r="J75" s="141"/>
      <c r="K75" s="118">
        <f>IFERROR(D75/L$50*1000,0)</f>
        <v>0</v>
      </c>
      <c r="L75" s="127">
        <f>+E75/K$50*1000</f>
        <v>113.31628193090944</v>
      </c>
      <c r="M75" s="118">
        <f t="shared" si="18"/>
        <v>15.491386788945348</v>
      </c>
      <c r="N75" s="118">
        <f t="shared" si="19"/>
        <v>0</v>
      </c>
    </row>
    <row r="76" spans="2:14" ht="15" thickBot="1" x14ac:dyDescent="0.35">
      <c r="B76" s="97"/>
      <c r="C76" s="97"/>
      <c r="D76" s="116"/>
      <c r="E76" s="125"/>
      <c r="F76" s="116"/>
      <c r="G76" s="116"/>
      <c r="H76" s="150"/>
      <c r="I76" s="141"/>
      <c r="J76" s="141"/>
      <c r="K76" s="116"/>
      <c r="L76" s="125"/>
      <c r="M76" s="116"/>
      <c r="N76" s="116"/>
    </row>
    <row r="77" spans="2:14" ht="15.6" thickTop="1" thickBot="1" x14ac:dyDescent="0.35">
      <c r="B77" s="99" t="s">
        <v>42</v>
      </c>
      <c r="C77" s="99" t="s">
        <v>43</v>
      </c>
      <c r="D77" s="119">
        <f t="shared" ref="D77:M77" si="20">+D66+D53</f>
        <v>14819.843999999999</v>
      </c>
      <c r="E77" s="128">
        <f t="shared" si="20"/>
        <v>15927.021000000001</v>
      </c>
      <c r="F77" s="119">
        <f t="shared" si="20"/>
        <v>33211.463545999999</v>
      </c>
      <c r="G77" s="119">
        <f t="shared" ref="G77" si="21">+G66+G53</f>
        <v>37837.531999999992</v>
      </c>
      <c r="H77" s="150"/>
      <c r="I77" s="141"/>
      <c r="J77" s="141"/>
      <c r="K77" s="119">
        <f t="shared" si="20"/>
        <v>45099.951308581862</v>
      </c>
      <c r="L77" s="128">
        <f t="shared" si="20"/>
        <v>51565.4514844433</v>
      </c>
      <c r="M77" s="119">
        <f t="shared" si="20"/>
        <v>102898.32552360889</v>
      </c>
      <c r="N77" s="119">
        <f t="shared" ref="N77" si="22">+N66+N53</f>
        <v>116653.90073119348</v>
      </c>
    </row>
    <row r="78" spans="2:14" ht="15" thickTop="1" x14ac:dyDescent="0.3">
      <c r="D78" s="113"/>
      <c r="E78" s="122"/>
      <c r="F78" s="142"/>
      <c r="G78" s="142"/>
      <c r="H78" s="150"/>
      <c r="I78" s="141"/>
      <c r="J78" s="141"/>
      <c r="K78" s="143"/>
      <c r="L78" s="143"/>
      <c r="M78" s="143"/>
      <c r="N78" s="143"/>
    </row>
    <row r="79" spans="2:14" ht="18" x14ac:dyDescent="0.35">
      <c r="D79" s="113"/>
      <c r="E79" s="122"/>
      <c r="F79" s="142"/>
      <c r="G79" s="142"/>
      <c r="H79" s="150"/>
      <c r="I79" s="141"/>
      <c r="K79" s="306" t="s">
        <v>291</v>
      </c>
      <c r="L79" s="306"/>
    </row>
    <row r="80" spans="2:14" x14ac:dyDescent="0.3">
      <c r="D80" s="113"/>
      <c r="E80" s="122"/>
      <c r="F80" s="142"/>
      <c r="G80" s="142"/>
      <c r="H80" s="150"/>
      <c r="I80" s="141"/>
      <c r="J80" t="s">
        <v>182</v>
      </c>
      <c r="K80" s="106">
        <v>308.87</v>
      </c>
      <c r="L80" s="106">
        <v>328.6</v>
      </c>
      <c r="M80" s="106">
        <v>322.76</v>
      </c>
      <c r="N80" s="106">
        <f>+N50</f>
        <v>356.57</v>
      </c>
    </row>
    <row r="81" spans="2:14" x14ac:dyDescent="0.3">
      <c r="B81" s="153"/>
      <c r="C81" s="153" t="s">
        <v>1</v>
      </c>
      <c r="D81" s="144">
        <v>42916</v>
      </c>
      <c r="E81" s="144">
        <v>43281</v>
      </c>
      <c r="F81" s="144">
        <v>43646</v>
      </c>
      <c r="G81" s="144">
        <v>44012</v>
      </c>
      <c r="H81" s="150"/>
      <c r="I81" s="145"/>
      <c r="J81" s="145"/>
      <c r="K81" s="144">
        <v>42916</v>
      </c>
      <c r="L81" s="144">
        <v>43281</v>
      </c>
      <c r="M81" s="144">
        <v>43646</v>
      </c>
      <c r="N81" s="144">
        <v>44012</v>
      </c>
    </row>
    <row r="82" spans="2:14" ht="15" customHeight="1" thickBot="1" x14ac:dyDescent="0.35">
      <c r="B82" s="153" t="s">
        <v>93</v>
      </c>
      <c r="C82" s="154" t="s">
        <v>167</v>
      </c>
      <c r="D82" s="146" t="s">
        <v>171</v>
      </c>
      <c r="E82" s="146" t="s">
        <v>171</v>
      </c>
      <c r="F82" s="146" t="s">
        <v>171</v>
      </c>
      <c r="G82" s="146" t="s">
        <v>171</v>
      </c>
      <c r="H82" s="150"/>
      <c r="I82" s="86"/>
      <c r="J82" s="86"/>
      <c r="K82" s="146" t="s">
        <v>171</v>
      </c>
      <c r="L82" s="146" t="s">
        <v>171</v>
      </c>
      <c r="M82" s="146" t="s">
        <v>171</v>
      </c>
      <c r="N82" s="146" t="s">
        <v>171</v>
      </c>
    </row>
    <row r="83" spans="2:14" ht="15" thickBot="1" x14ac:dyDescent="0.35">
      <c r="B83" s="98" t="s">
        <v>44</v>
      </c>
      <c r="C83" s="98" t="s">
        <v>45</v>
      </c>
      <c r="D83" s="117">
        <f>+D84+D93</f>
        <v>4668.9340000000002</v>
      </c>
      <c r="E83" s="126">
        <f>+E84+E93</f>
        <v>5104.4380000000001</v>
      </c>
      <c r="F83" s="117">
        <f>+F84+F93</f>
        <v>6310.1572749999987</v>
      </c>
      <c r="G83" s="117">
        <f>+G84+G93</f>
        <v>7586.5889999999999</v>
      </c>
      <c r="H83" s="150"/>
      <c r="I83" s="141"/>
      <c r="J83" s="141"/>
      <c r="K83" s="117">
        <f>+K84+K93</f>
        <v>14208.563603164943</v>
      </c>
      <c r="L83" s="126">
        <f>+L84+L93</f>
        <v>16526.169585909931</v>
      </c>
      <c r="M83" s="117">
        <f>+M84+M93</f>
        <v>19550.617409220471</v>
      </c>
      <c r="N83" s="117">
        <f>+N84+N93</f>
        <v>21276.576829234091</v>
      </c>
    </row>
    <row r="84" spans="2:14" ht="16.2" customHeight="1" x14ac:dyDescent="0.3">
      <c r="B84" s="100" t="s">
        <v>175</v>
      </c>
      <c r="C84" s="100" t="s">
        <v>47</v>
      </c>
      <c r="D84" s="120">
        <f>SUM(D85:D91)</f>
        <v>4698.5380000000005</v>
      </c>
      <c r="E84" s="129">
        <f>SUM(E85:E91)</f>
        <v>5131.0680000000002</v>
      </c>
      <c r="F84" s="120">
        <f>SUM(F85:F91)</f>
        <v>6317.2654119999988</v>
      </c>
      <c r="G84" s="120">
        <v>7580.9840000000004</v>
      </c>
      <c r="H84" s="150"/>
      <c r="I84" s="141"/>
      <c r="J84" s="141"/>
      <c r="K84" s="120">
        <f>SUM(K85:K91)</f>
        <v>14298.65489957395</v>
      </c>
      <c r="L84" s="129">
        <f>SUM(L85:L91)</f>
        <v>16612.387088419076</v>
      </c>
      <c r="M84" s="120">
        <f>SUM(M85:M91)</f>
        <v>19572.640389143635</v>
      </c>
      <c r="N84" s="120">
        <f>SUM(N85:N91)</f>
        <v>21260.857615615445</v>
      </c>
    </row>
    <row r="85" spans="2:14" x14ac:dyDescent="0.3">
      <c r="B85" s="97" t="s">
        <v>48</v>
      </c>
      <c r="C85" s="97" t="s">
        <v>49</v>
      </c>
      <c r="D85" s="115">
        <v>195.39</v>
      </c>
      <c r="E85" s="124">
        <v>195.39</v>
      </c>
      <c r="F85" s="115">
        <v>232.78190000000001</v>
      </c>
      <c r="G85" s="115">
        <v>232.97200000000001</v>
      </c>
      <c r="H85" s="150"/>
      <c r="I85" s="141"/>
      <c r="J85" s="141"/>
      <c r="K85" s="115">
        <f>+D85/L$50*1000</f>
        <v>594.61351186853301</v>
      </c>
      <c r="L85" s="124">
        <f t="shared" ref="L85:L91" si="23">+E85/K$50*1000</f>
        <v>632.59623789943987</v>
      </c>
      <c r="M85" s="115">
        <f t="shared" ref="M85:M93" si="24">F85/$M$50*1000</f>
        <v>721.2228900731194</v>
      </c>
      <c r="N85" s="115">
        <f t="shared" ref="N85:N93" si="25">G85/N$50*1000</f>
        <v>653.36960484617339</v>
      </c>
    </row>
    <row r="86" spans="2:14" x14ac:dyDescent="0.3">
      <c r="B86" s="97" t="s">
        <v>303</v>
      </c>
      <c r="C86" s="97" t="s">
        <v>50</v>
      </c>
      <c r="D86" s="115">
        <v>3080.8380000000002</v>
      </c>
      <c r="E86" s="124">
        <v>3080.8380000000002</v>
      </c>
      <c r="F86" s="115">
        <v>5042.9831169999998</v>
      </c>
      <c r="G86" s="115">
        <v>5057.8329999999996</v>
      </c>
      <c r="H86" s="150"/>
      <c r="I86" s="141"/>
      <c r="J86" s="141"/>
      <c r="K86" s="118">
        <f>IFERROR(D86/L$50*1000,0)</f>
        <v>9375.6482045039575</v>
      </c>
      <c r="L86" s="124">
        <f t="shared" si="23"/>
        <v>9974.5459254702637</v>
      </c>
      <c r="M86" s="115">
        <f t="shared" si="24"/>
        <v>15624.560407113644</v>
      </c>
      <c r="N86" s="115">
        <f t="shared" si="25"/>
        <v>14184.68463415318</v>
      </c>
    </row>
    <row r="87" spans="2:14" x14ac:dyDescent="0.3">
      <c r="B87" s="97" t="s">
        <v>51</v>
      </c>
      <c r="C87" s="97" t="s">
        <v>52</v>
      </c>
      <c r="D87" s="115">
        <v>73.165999999999997</v>
      </c>
      <c r="E87" s="124">
        <v>83.74</v>
      </c>
      <c r="F87" s="115">
        <v>92.690111000000002</v>
      </c>
      <c r="G87" s="115">
        <v>66.748000000000005</v>
      </c>
      <c r="H87" s="150"/>
      <c r="I87" s="141"/>
      <c r="J87" s="141"/>
      <c r="K87" s="115">
        <f>+D87/L$50*1000</f>
        <v>222.65976871576382</v>
      </c>
      <c r="L87" s="124">
        <f t="shared" si="23"/>
        <v>271.11729853983871</v>
      </c>
      <c r="M87" s="115">
        <f t="shared" si="24"/>
        <v>287.17967220225552</v>
      </c>
      <c r="N87" s="115">
        <f t="shared" si="25"/>
        <v>187.19466023501698</v>
      </c>
    </row>
    <row r="88" spans="2:14" x14ac:dyDescent="0.3">
      <c r="B88" s="97" t="s">
        <v>53</v>
      </c>
      <c r="C88" s="97" t="s">
        <v>54</v>
      </c>
      <c r="D88" s="115">
        <v>1682.662</v>
      </c>
      <c r="E88" s="124">
        <v>2108.5790000000002</v>
      </c>
      <c r="F88" s="115">
        <v>2501.4978080000001</v>
      </c>
      <c r="G88" s="115">
        <v>3357.8470000000002</v>
      </c>
      <c r="H88" s="150"/>
      <c r="I88" s="141"/>
      <c r="J88" s="141"/>
      <c r="K88" s="115">
        <f>+D88/L$50*1000</f>
        <v>5120.6999391357276</v>
      </c>
      <c r="L88" s="124">
        <f t="shared" si="23"/>
        <v>6826.7523553598603</v>
      </c>
      <c r="M88" s="115">
        <f t="shared" si="24"/>
        <v>7750.3340190853887</v>
      </c>
      <c r="N88" s="115">
        <f t="shared" si="25"/>
        <v>9417.076590851726</v>
      </c>
    </row>
    <row r="89" spans="2:14" x14ac:dyDescent="0.3">
      <c r="B89" s="97" t="s">
        <v>176</v>
      </c>
      <c r="C89" s="97" t="s">
        <v>56</v>
      </c>
      <c r="D89" s="115">
        <v>-182.42400000000001</v>
      </c>
      <c r="E89" s="124">
        <v>-182.42400000000001</v>
      </c>
      <c r="F89" s="115">
        <v>-192.53436500000001</v>
      </c>
      <c r="G89" s="115">
        <v>-192.53399999999999</v>
      </c>
      <c r="H89" s="150"/>
      <c r="I89" s="141"/>
      <c r="J89" s="141"/>
      <c r="K89" s="115">
        <f>+D89/L$50*1000</f>
        <v>-555.15520389531343</v>
      </c>
      <c r="L89" s="124">
        <f t="shared" si="23"/>
        <v>-590.61741185612073</v>
      </c>
      <c r="M89" s="115">
        <f t="shared" si="24"/>
        <v>-596.52486367579627</v>
      </c>
      <c r="N89" s="115">
        <f t="shared" si="25"/>
        <v>-539.96129792186662</v>
      </c>
    </row>
    <row r="90" spans="2:14" x14ac:dyDescent="0.3">
      <c r="B90" s="97" t="s">
        <v>57</v>
      </c>
      <c r="C90" s="97" t="s">
        <v>58</v>
      </c>
      <c r="D90" s="115">
        <v>-151.09399999999999</v>
      </c>
      <c r="E90" s="124">
        <v>-155.22</v>
      </c>
      <c r="F90" s="115">
        <v>-1360.483714</v>
      </c>
      <c r="G90" s="115">
        <v>-940.82299999999998</v>
      </c>
      <c r="H90" s="150"/>
      <c r="I90" s="141"/>
      <c r="J90" s="141"/>
      <c r="K90" s="115">
        <f>+D90/L$50*1000</f>
        <v>-459.81132075471692</v>
      </c>
      <c r="L90" s="124">
        <f t="shared" si="23"/>
        <v>-502.5415223233075</v>
      </c>
      <c r="M90" s="115">
        <f t="shared" si="24"/>
        <v>-4215.1558867269805</v>
      </c>
      <c r="N90" s="115">
        <f t="shared" si="25"/>
        <v>-2638.5366127268139</v>
      </c>
    </row>
    <row r="91" spans="2:14" x14ac:dyDescent="0.3">
      <c r="B91" s="97" t="s">
        <v>177</v>
      </c>
      <c r="C91" s="97" t="s">
        <v>306</v>
      </c>
      <c r="D91" s="115" t="s">
        <v>12</v>
      </c>
      <c r="E91" s="124">
        <v>0.16500000000000001</v>
      </c>
      <c r="F91" s="115">
        <v>0.33055499999999999</v>
      </c>
      <c r="G91" s="115">
        <v>-1.0589999999999999</v>
      </c>
      <c r="H91" s="150"/>
      <c r="I91" s="141"/>
      <c r="J91" s="141"/>
      <c r="K91" s="118">
        <f>IFERROR(D91/L$50*1000,0)</f>
        <v>0</v>
      </c>
      <c r="L91" s="124">
        <f t="shared" si="23"/>
        <v>0.53420532910285889</v>
      </c>
      <c r="M91" s="115">
        <f t="shared" si="24"/>
        <v>1.0241510720039657</v>
      </c>
      <c r="N91" s="115">
        <f t="shared" si="25"/>
        <v>-2.9699638219704405</v>
      </c>
    </row>
    <row r="92" spans="2:14" x14ac:dyDescent="0.3">
      <c r="B92" s="97"/>
      <c r="C92" s="97"/>
      <c r="D92" s="121">
        <v>0</v>
      </c>
      <c r="E92" s="130">
        <v>0</v>
      </c>
      <c r="F92" s="121">
        <v>0</v>
      </c>
      <c r="G92" s="121">
        <v>0</v>
      </c>
      <c r="H92" s="150"/>
      <c r="I92" s="141"/>
      <c r="J92" s="141"/>
      <c r="K92" s="121"/>
      <c r="L92" s="130"/>
      <c r="M92" s="115">
        <f t="shared" si="24"/>
        <v>0</v>
      </c>
      <c r="N92" s="115">
        <f t="shared" si="25"/>
        <v>0</v>
      </c>
    </row>
    <row r="93" spans="2:14" x14ac:dyDescent="0.3">
      <c r="B93" s="100" t="s">
        <v>60</v>
      </c>
      <c r="C93" s="97" t="s">
        <v>61</v>
      </c>
      <c r="D93" s="120">
        <v>-29.603999999999999</v>
      </c>
      <c r="E93" s="129">
        <v>-26.63</v>
      </c>
      <c r="F93" s="120">
        <v>-7.1081370000000001</v>
      </c>
      <c r="G93" s="120">
        <v>5.6050000000000004</v>
      </c>
      <c r="H93" s="150"/>
      <c r="I93" s="141"/>
      <c r="J93" s="141"/>
      <c r="K93" s="120">
        <f>+D93/L$50*1000</f>
        <v>-90.091296409007896</v>
      </c>
      <c r="L93" s="129">
        <f>+E93/K$50*1000</f>
        <v>-86.217502509146243</v>
      </c>
      <c r="M93" s="120">
        <f t="shared" si="24"/>
        <v>-22.022979923162723</v>
      </c>
      <c r="N93" s="120">
        <f t="shared" si="25"/>
        <v>15.719213618644309</v>
      </c>
    </row>
    <row r="94" spans="2:14" ht="15" thickBot="1" x14ac:dyDescent="0.35">
      <c r="B94" s="97"/>
      <c r="C94" s="97"/>
      <c r="D94" s="116"/>
      <c r="E94" s="125"/>
      <c r="F94" s="116"/>
      <c r="G94" s="116"/>
      <c r="H94" s="150"/>
      <c r="I94" s="141"/>
      <c r="J94" s="141"/>
      <c r="K94" s="116"/>
      <c r="L94" s="125"/>
      <c r="M94" s="116"/>
      <c r="N94" s="116"/>
    </row>
    <row r="95" spans="2:14" ht="15" thickBot="1" x14ac:dyDescent="0.35">
      <c r="B95" s="98" t="s">
        <v>62</v>
      </c>
      <c r="C95" s="98" t="s">
        <v>63</v>
      </c>
      <c r="D95" s="117">
        <f>SUM(D96:D102)</f>
        <v>6230.688000000001</v>
      </c>
      <c r="E95" s="126">
        <f>SUM(E96:E102)</f>
        <v>6529.851999999999</v>
      </c>
      <c r="F95" s="117">
        <f>SUM(F96:F102)</f>
        <v>19876.075740000004</v>
      </c>
      <c r="G95" s="117">
        <f>SUM(G96:G102)</f>
        <v>22014.203999999998</v>
      </c>
      <c r="H95" s="150"/>
      <c r="I95" s="141"/>
      <c r="J95" s="141"/>
      <c r="K95" s="117">
        <f>SUM(K96:K102)</f>
        <v>18961.314668289713</v>
      </c>
      <c r="L95" s="126">
        <f>SUM(L96:L102)</f>
        <v>21141.101434260367</v>
      </c>
      <c r="M95" s="117">
        <f>SUM(M96:M102)</f>
        <v>61581.595426942629</v>
      </c>
      <c r="N95" s="117">
        <f>SUM(N96:N102)</f>
        <v>61738.800235577866</v>
      </c>
    </row>
    <row r="96" spans="2:14" x14ac:dyDescent="0.3">
      <c r="B96" s="97" t="s">
        <v>64</v>
      </c>
      <c r="C96" s="97" t="s">
        <v>24</v>
      </c>
      <c r="D96" s="118">
        <v>1900.8979999999999</v>
      </c>
      <c r="E96" s="127">
        <v>1629.498</v>
      </c>
      <c r="F96" s="118">
        <v>13278.101674</v>
      </c>
      <c r="G96" s="118">
        <v>8008.2060000000001</v>
      </c>
      <c r="H96" s="150"/>
      <c r="I96" s="141"/>
      <c r="J96" s="141"/>
      <c r="K96" s="118">
        <f t="shared" ref="K96:K102" si="26">+D96/L$50*1000</f>
        <v>5784.8387096774186</v>
      </c>
      <c r="L96" s="127">
        <f t="shared" ref="L96:L102" si="27">+E96/K$50*1000</f>
        <v>5275.6758506815167</v>
      </c>
      <c r="M96" s="118">
        <f t="shared" ref="M96:M102" si="28">F96/$M$50*1000</f>
        <v>41139.241770975335</v>
      </c>
      <c r="N96" s="118">
        <f t="shared" ref="N96:N102" si="29">G96/N$50*1000</f>
        <v>22459.001037664413</v>
      </c>
    </row>
    <row r="97" spans="2:14" x14ac:dyDescent="0.3">
      <c r="B97" s="97" t="s">
        <v>65</v>
      </c>
      <c r="C97" s="97" t="s">
        <v>66</v>
      </c>
      <c r="D97" s="118">
        <v>3436.2719999999999</v>
      </c>
      <c r="E97" s="127">
        <v>3529.739</v>
      </c>
      <c r="F97" s="118">
        <v>4197.3175840000004</v>
      </c>
      <c r="G97" s="118">
        <v>10957.118</v>
      </c>
      <c r="H97" s="150"/>
      <c r="I97" s="141"/>
      <c r="J97" s="141"/>
      <c r="K97" s="118">
        <f t="shared" si="26"/>
        <v>10457.309799147899</v>
      </c>
      <c r="L97" s="127">
        <f t="shared" si="27"/>
        <v>11427.91141904361</v>
      </c>
      <c r="M97" s="118">
        <f t="shared" si="28"/>
        <v>13004.454033957121</v>
      </c>
      <c r="N97" s="118">
        <f t="shared" si="29"/>
        <v>30729.220068990664</v>
      </c>
    </row>
    <row r="98" spans="2:14" x14ac:dyDescent="0.3">
      <c r="B98" s="97" t="s">
        <v>178</v>
      </c>
      <c r="C98" s="97" t="s">
        <v>68</v>
      </c>
      <c r="D98" s="118">
        <v>121.72499999999999</v>
      </c>
      <c r="E98" s="127">
        <v>101.464</v>
      </c>
      <c r="F98" s="118">
        <v>832.78013699999997</v>
      </c>
      <c r="G98" s="118">
        <v>939.17200000000003</v>
      </c>
      <c r="H98" s="150"/>
      <c r="I98" s="141"/>
      <c r="J98" s="141"/>
      <c r="K98" s="118">
        <f t="shared" si="26"/>
        <v>370.43517954960436</v>
      </c>
      <c r="L98" s="127">
        <f t="shared" si="27"/>
        <v>328.50066370965129</v>
      </c>
      <c r="M98" s="118">
        <f t="shared" si="28"/>
        <v>2580.1838424835792</v>
      </c>
      <c r="N98" s="118">
        <f t="shared" si="29"/>
        <v>2633.9063858428917</v>
      </c>
    </row>
    <row r="99" spans="2:14" x14ac:dyDescent="0.3">
      <c r="B99" s="97" t="s">
        <v>69</v>
      </c>
      <c r="C99" s="97" t="s">
        <v>70</v>
      </c>
      <c r="D99" s="118">
        <v>234.131</v>
      </c>
      <c r="E99" s="127">
        <v>353.82499999999999</v>
      </c>
      <c r="F99" s="118">
        <v>590.39205900000002</v>
      </c>
      <c r="G99" s="118">
        <v>655.54700000000003</v>
      </c>
      <c r="H99" s="150"/>
      <c r="I99" s="141"/>
      <c r="J99" s="141"/>
      <c r="K99" s="118">
        <f t="shared" si="26"/>
        <v>712.51065124771753</v>
      </c>
      <c r="L99" s="127">
        <f t="shared" si="27"/>
        <v>1145.5466701201151</v>
      </c>
      <c r="M99" s="118">
        <f t="shared" si="28"/>
        <v>1829.1983486181684</v>
      </c>
      <c r="N99" s="118">
        <f t="shared" si="29"/>
        <v>1838.4805227585048</v>
      </c>
    </row>
    <row r="100" spans="2:14" x14ac:dyDescent="0.3">
      <c r="B100" s="97" t="s">
        <v>71</v>
      </c>
      <c r="C100" s="97" t="s">
        <v>72</v>
      </c>
      <c r="D100" s="118">
        <v>289.25599999999997</v>
      </c>
      <c r="E100" s="127">
        <v>479.44099999999997</v>
      </c>
      <c r="F100" s="118">
        <v>532.14335300000005</v>
      </c>
      <c r="G100" s="118">
        <v>615.82399999999996</v>
      </c>
      <c r="H100" s="150"/>
      <c r="I100" s="141"/>
      <c r="J100" s="141"/>
      <c r="K100" s="118">
        <f t="shared" si="26"/>
        <v>880.2678027997564</v>
      </c>
      <c r="L100" s="127">
        <f t="shared" si="27"/>
        <v>1552.2420435782042</v>
      </c>
      <c r="M100" s="118">
        <f t="shared" si="28"/>
        <v>1648.727701697856</v>
      </c>
      <c r="N100" s="118">
        <f t="shared" si="29"/>
        <v>1727.0774322012508</v>
      </c>
    </row>
    <row r="101" spans="2:14" x14ac:dyDescent="0.3">
      <c r="B101" s="97" t="s">
        <v>73</v>
      </c>
      <c r="C101" s="97" t="s">
        <v>74</v>
      </c>
      <c r="D101" s="118">
        <v>248.40600000000001</v>
      </c>
      <c r="E101" s="127">
        <v>160.53399999999999</v>
      </c>
      <c r="F101" s="118">
        <v>114.59032500000001</v>
      </c>
      <c r="G101" s="118">
        <v>487.80900000000003</v>
      </c>
      <c r="H101" s="150"/>
      <c r="I101" s="141"/>
      <c r="J101" s="141"/>
      <c r="K101" s="118">
        <f t="shared" si="26"/>
        <v>755.9525258673159</v>
      </c>
      <c r="L101" s="127">
        <f t="shared" si="27"/>
        <v>519.74617152847463</v>
      </c>
      <c r="M101" s="118">
        <f t="shared" si="28"/>
        <v>355.03260936919077</v>
      </c>
      <c r="N101" s="118">
        <f t="shared" si="29"/>
        <v>1368.0595675463444</v>
      </c>
    </row>
    <row r="102" spans="2:14" x14ac:dyDescent="0.3">
      <c r="B102" s="97" t="s">
        <v>75</v>
      </c>
      <c r="C102" s="97" t="s">
        <v>76</v>
      </c>
      <c r="D102" s="116">
        <v>0</v>
      </c>
      <c r="E102" s="125">
        <v>275.351</v>
      </c>
      <c r="F102" s="116">
        <v>330.750608</v>
      </c>
      <c r="G102" s="116">
        <v>350.52800000000002</v>
      </c>
      <c r="H102" s="150"/>
      <c r="I102" s="141"/>
      <c r="J102" s="141"/>
      <c r="K102" s="116">
        <f t="shared" si="26"/>
        <v>0</v>
      </c>
      <c r="L102" s="125">
        <f t="shared" si="27"/>
        <v>891.47861559879561</v>
      </c>
      <c r="M102" s="118">
        <f t="shared" si="28"/>
        <v>1024.7571198413682</v>
      </c>
      <c r="N102" s="118">
        <f t="shared" si="29"/>
        <v>983.05522057380051</v>
      </c>
    </row>
    <row r="103" spans="2:14" ht="15" thickBot="1" x14ac:dyDescent="0.35">
      <c r="B103" s="97"/>
      <c r="C103" s="97"/>
      <c r="D103" s="116"/>
      <c r="E103" s="125"/>
      <c r="F103" s="116"/>
      <c r="G103" s="116"/>
      <c r="H103" s="150"/>
      <c r="I103" s="141"/>
      <c r="J103" s="141"/>
      <c r="K103" s="116"/>
      <c r="L103" s="125"/>
      <c r="M103" s="116"/>
      <c r="N103" s="116"/>
    </row>
    <row r="104" spans="2:14" ht="15" thickBot="1" x14ac:dyDescent="0.35">
      <c r="B104" s="98" t="s">
        <v>77</v>
      </c>
      <c r="C104" s="98" t="s">
        <v>78</v>
      </c>
      <c r="D104" s="114">
        <f>SUM(D105:D112)</f>
        <v>3920.2220000000002</v>
      </c>
      <c r="E104" s="123">
        <f>SUM(E105:E112)</f>
        <v>4292.7309999999989</v>
      </c>
      <c r="F104" s="114">
        <f>SUM(F105:F112)</f>
        <v>7025.2305310000002</v>
      </c>
      <c r="G104" s="114">
        <f>SUM(G105:G112)</f>
        <v>8236.7389999999996</v>
      </c>
      <c r="H104" s="150"/>
      <c r="I104" s="141"/>
      <c r="J104" s="141"/>
      <c r="K104" s="114">
        <f>SUM(K105:K112)</f>
        <v>11930.073037127204</v>
      </c>
      <c r="L104" s="123">
        <f>SUM(L105:L112)</f>
        <v>13898.180464272995</v>
      </c>
      <c r="M104" s="114">
        <f>SUM(M105:M112)</f>
        <v>21766.11268744578</v>
      </c>
      <c r="N104" s="114">
        <f>SUM(N105:N112)</f>
        <v>22795.479148554281</v>
      </c>
    </row>
    <row r="105" spans="2:14" x14ac:dyDescent="0.3">
      <c r="B105" s="97" t="s">
        <v>179</v>
      </c>
      <c r="C105" s="97" t="s">
        <v>313</v>
      </c>
      <c r="D105" s="115">
        <v>341.05700000000002</v>
      </c>
      <c r="E105" s="124">
        <v>754.86</v>
      </c>
      <c r="F105" s="115">
        <v>1678.328323</v>
      </c>
      <c r="G105" s="115">
        <v>361.55500000000001</v>
      </c>
      <c r="H105" s="150"/>
      <c r="I105" s="141"/>
      <c r="J105" s="141"/>
      <c r="K105" s="115">
        <f t="shared" ref="K105:K112" si="30">+D105/L$50*1000</f>
        <v>1037.9093122337188</v>
      </c>
      <c r="L105" s="124">
        <f t="shared" ref="L105:L112" si="31">+E105/K$50*1000</f>
        <v>2443.9408165247514</v>
      </c>
      <c r="M105" s="115">
        <f>F105/$M$50*1000</f>
        <v>5199.9266420869999</v>
      </c>
      <c r="N105" s="115">
        <f>G105/N$50*1000</f>
        <v>1013.9804246010602</v>
      </c>
    </row>
    <row r="106" spans="2:14" x14ac:dyDescent="0.3">
      <c r="B106" s="97" t="s">
        <v>80</v>
      </c>
      <c r="C106" s="97" t="s">
        <v>180</v>
      </c>
      <c r="D106" s="115">
        <v>1077.817</v>
      </c>
      <c r="E106" s="124">
        <v>74.227999999999994</v>
      </c>
      <c r="F106" s="115">
        <v>96.534999999999997</v>
      </c>
      <c r="G106" s="115">
        <v>2391.13</v>
      </c>
      <c r="H106" s="150"/>
      <c r="I106" s="141"/>
      <c r="J106" s="141"/>
      <c r="K106" s="115">
        <f t="shared" si="30"/>
        <v>3280.0273889227019</v>
      </c>
      <c r="L106" s="124">
        <f t="shared" si="31"/>
        <v>240.32117071907271</v>
      </c>
      <c r="M106" s="115">
        <f t="shared" ref="M106:M112" si="32">F106/$M$50*1000</f>
        <v>299.09220473416781</v>
      </c>
      <c r="N106" s="115">
        <f>G106/N$50*1000</f>
        <v>6705.9202961550327</v>
      </c>
    </row>
    <row r="107" spans="2:14" x14ac:dyDescent="0.3">
      <c r="B107" s="97" t="s">
        <v>339</v>
      </c>
      <c r="C107" s="97" t="s">
        <v>414</v>
      </c>
      <c r="D107" s="115"/>
      <c r="E107" s="124"/>
      <c r="F107" s="115"/>
      <c r="G107" s="115">
        <v>108.55500000000001</v>
      </c>
      <c r="H107" s="150"/>
      <c r="I107" s="141"/>
      <c r="J107" s="141"/>
      <c r="K107" s="115"/>
      <c r="L107" s="124"/>
      <c r="M107" s="115"/>
      <c r="N107" s="115"/>
    </row>
    <row r="108" spans="2:14" x14ac:dyDescent="0.3">
      <c r="B108" s="97" t="s">
        <v>89</v>
      </c>
      <c r="C108" s="97" t="s">
        <v>90</v>
      </c>
      <c r="D108" s="115">
        <v>59.829000000000001</v>
      </c>
      <c r="E108" s="124">
        <v>405.03399999999999</v>
      </c>
      <c r="F108" s="115">
        <v>156.95516000000001</v>
      </c>
      <c r="G108" s="115">
        <v>482.43299999999999</v>
      </c>
      <c r="H108" s="150"/>
      <c r="I108" s="141"/>
      <c r="J108" s="141"/>
      <c r="K108" s="115">
        <f>+D108/L$50*1000</f>
        <v>182.07242848447962</v>
      </c>
      <c r="L108" s="124">
        <f>+E108/K$50*1000</f>
        <v>1311.3413410172564</v>
      </c>
      <c r="M108" s="115">
        <f>F108/$M$50*1000</f>
        <v>486.29061841616067</v>
      </c>
      <c r="N108" s="115">
        <f>G108/N$50*1000</f>
        <v>1352.98258406484</v>
      </c>
    </row>
    <row r="109" spans="2:14" x14ac:dyDescent="0.3">
      <c r="B109" s="97" t="s">
        <v>81</v>
      </c>
      <c r="C109" s="97" t="s">
        <v>82</v>
      </c>
      <c r="D109" s="115">
        <v>938.822</v>
      </c>
      <c r="E109" s="124">
        <v>631.53899999999999</v>
      </c>
      <c r="F109" s="115">
        <v>355.83098100000001</v>
      </c>
      <c r="G109" s="115">
        <v>625.83100000000002</v>
      </c>
      <c r="H109" s="287"/>
      <c r="I109" s="141"/>
      <c r="J109" s="141"/>
      <c r="K109" s="115">
        <f t="shared" si="30"/>
        <v>2857.0359099208763</v>
      </c>
      <c r="L109" s="124">
        <f t="shared" si="31"/>
        <v>2044.6757535532747</v>
      </c>
      <c r="M109" s="115">
        <f t="shared" si="32"/>
        <v>1102.4630716321726</v>
      </c>
      <c r="N109" s="115">
        <f>G109/N$50*1000</f>
        <v>1755.142047844743</v>
      </c>
    </row>
    <row r="110" spans="2:14" x14ac:dyDescent="0.3">
      <c r="B110" s="97" t="s">
        <v>83</v>
      </c>
      <c r="C110" s="97" t="s">
        <v>84</v>
      </c>
      <c r="D110" s="115">
        <v>139.31</v>
      </c>
      <c r="E110" s="124">
        <v>834.55399999999997</v>
      </c>
      <c r="F110" s="115">
        <v>564.485771</v>
      </c>
      <c r="G110" s="115">
        <v>972.18299999999999</v>
      </c>
      <c r="H110" s="150"/>
      <c r="I110" s="141"/>
      <c r="J110" s="141"/>
      <c r="K110" s="115">
        <f t="shared" si="30"/>
        <v>423.95009129640897</v>
      </c>
      <c r="L110" s="124">
        <f t="shared" si="31"/>
        <v>2701.9587528733769</v>
      </c>
      <c r="M110" s="115">
        <f t="shared" si="32"/>
        <v>1748.9334830834055</v>
      </c>
      <c r="N110" s="115">
        <f>G110/N$50*1000</f>
        <v>2726.4856830355893</v>
      </c>
    </row>
    <row r="111" spans="2:14" ht="28.8" x14ac:dyDescent="0.3">
      <c r="B111" s="97" t="s">
        <v>85</v>
      </c>
      <c r="C111" s="97" t="s">
        <v>86</v>
      </c>
      <c r="D111" s="115">
        <v>1325.915</v>
      </c>
      <c r="E111" s="124">
        <v>1539.8879999999999</v>
      </c>
      <c r="F111" s="115">
        <v>477.98033900000001</v>
      </c>
      <c r="G111" s="115">
        <v>3215.2779999999998</v>
      </c>
      <c r="H111" s="150"/>
      <c r="I111" s="141"/>
      <c r="J111" s="141"/>
      <c r="K111" s="115">
        <f t="shared" si="30"/>
        <v>4035.0426049908697</v>
      </c>
      <c r="L111" s="124">
        <f t="shared" si="31"/>
        <v>4985.5537928578369</v>
      </c>
      <c r="M111" s="115">
        <f t="shared" si="32"/>
        <v>1480.9156617920439</v>
      </c>
      <c r="N111" s="115">
        <f>G111/N$50*1000</f>
        <v>9017.2420562582392</v>
      </c>
    </row>
    <row r="112" spans="2:14" x14ac:dyDescent="0.3">
      <c r="B112" s="97" t="s">
        <v>87</v>
      </c>
      <c r="C112" s="97" t="s">
        <v>88</v>
      </c>
      <c r="D112" s="115">
        <v>37.472000000000001</v>
      </c>
      <c r="E112" s="124">
        <v>52.628</v>
      </c>
      <c r="F112" s="115">
        <v>3695.1149569999998</v>
      </c>
      <c r="G112" s="115">
        <v>79.774000000000001</v>
      </c>
      <c r="H112" s="150"/>
      <c r="I112" s="141"/>
      <c r="J112" s="141"/>
      <c r="K112" s="115">
        <f t="shared" si="30"/>
        <v>114.03530127814972</v>
      </c>
      <c r="L112" s="124">
        <f t="shared" si="31"/>
        <v>170.38883672742577</v>
      </c>
      <c r="M112" s="115">
        <f t="shared" si="32"/>
        <v>11448.491005700831</v>
      </c>
      <c r="N112" s="115">
        <f>G112/N$50*1000</f>
        <v>223.72605659477804</v>
      </c>
    </row>
    <row r="113" spans="2:14" ht="15" thickBot="1" x14ac:dyDescent="0.35">
      <c r="B113" s="97"/>
      <c r="C113" s="97"/>
      <c r="D113" s="116"/>
      <c r="E113" s="125"/>
      <c r="F113" s="116"/>
      <c r="G113" s="116"/>
      <c r="H113" s="150"/>
      <c r="I113" s="141"/>
      <c r="J113" s="141"/>
      <c r="K113" s="116"/>
      <c r="L113" s="125"/>
      <c r="M113" s="116"/>
      <c r="N113" s="116"/>
    </row>
    <row r="114" spans="2:14" ht="30" thickTop="1" thickBot="1" x14ac:dyDescent="0.35">
      <c r="B114" s="99" t="s">
        <v>91</v>
      </c>
      <c r="C114" s="99" t="s">
        <v>92</v>
      </c>
      <c r="D114" s="119">
        <f>+D104+D95+D83</f>
        <v>14819.844000000001</v>
      </c>
      <c r="E114" s="128">
        <f>+E104+E95+E83</f>
        <v>15927.020999999999</v>
      </c>
      <c r="F114" s="119">
        <f>+F104+F95+F83</f>
        <v>33211.463546000006</v>
      </c>
      <c r="G114" s="119">
        <f>+G104+G95+G83</f>
        <v>37837.531999999999</v>
      </c>
      <c r="H114" s="150"/>
      <c r="I114" s="141"/>
      <c r="J114" s="141"/>
      <c r="K114" s="119">
        <f>+K104+K95+K83</f>
        <v>45099.951308581862</v>
      </c>
      <c r="L114" s="128">
        <f>+L104+L95+L83</f>
        <v>51565.451484443285</v>
      </c>
      <c r="M114" s="119">
        <f>+M104+M95+M83</f>
        <v>102898.32552360889</v>
      </c>
      <c r="N114" s="119">
        <f>+N104+N95+N83</f>
        <v>105810.85621336625</v>
      </c>
    </row>
    <row r="115" spans="2:14" ht="15" thickTop="1" x14ac:dyDescent="0.3">
      <c r="H115" s="150"/>
    </row>
    <row r="116" spans="2:14" x14ac:dyDescent="0.3">
      <c r="H116" s="150"/>
    </row>
    <row r="139" spans="4:8" x14ac:dyDescent="0.3">
      <c r="D139" s="122"/>
      <c r="E139" s="106"/>
      <c r="F139" s="122"/>
      <c r="G139" s="122"/>
      <c r="H139" s="122"/>
    </row>
    <row r="140" spans="4:8" x14ac:dyDescent="0.3">
      <c r="D140" s="122"/>
      <c r="E140" s="106"/>
      <c r="F140" s="122"/>
      <c r="G140" s="122"/>
      <c r="H140" s="122"/>
    </row>
  </sheetData>
  <mergeCells count="4">
    <mergeCell ref="K49:L49"/>
    <mergeCell ref="K1:L1"/>
    <mergeCell ref="K26:L26"/>
    <mergeCell ref="K79:L79"/>
  </mergeCells>
  <phoneticPr fontId="3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FD4B6-3BE3-42DC-9BC7-CD40A290BB7B}">
  <dimension ref="A1:AI50"/>
  <sheetViews>
    <sheetView zoomScaleNormal="100" workbookViewId="0">
      <pane xSplit="3" ySplit="4" topLeftCell="M5" activePane="bottomRight" state="frozen"/>
      <selection pane="topRight" activeCell="D1" sqref="D1"/>
      <selection pane="bottomLeft" activeCell="A5" sqref="A5"/>
      <selection pane="bottomRight" activeCell="R25" sqref="R25"/>
    </sheetView>
  </sheetViews>
  <sheetFormatPr defaultRowHeight="14.4" outlineLevelRow="2" outlineLevelCol="2" x14ac:dyDescent="0.3"/>
  <cols>
    <col min="1" max="1" width="18.6640625" bestFit="1" customWidth="1"/>
    <col min="2" max="2" width="36.5546875" style="90" customWidth="1"/>
    <col min="3" max="3" width="36.44140625" style="90" customWidth="1"/>
    <col min="4" max="11" width="11.88671875" hidden="1" customWidth="1" outlineLevel="2"/>
    <col min="12" max="12" width="11.88671875" customWidth="1" outlineLevel="1" collapsed="1"/>
    <col min="13" max="13" width="11.88671875" customWidth="1" outlineLevel="1"/>
    <col min="14" max="14" width="12" customWidth="1" outlineLevel="1"/>
    <col min="15" max="15" width="13.6640625" customWidth="1" outlineLevel="1"/>
    <col min="16" max="18" width="14" customWidth="1" outlineLevel="2"/>
    <col min="19" max="19" width="9.109375" customWidth="1" outlineLevel="1"/>
    <col min="20" max="20" width="10.44140625" customWidth="1" outlineLevel="1"/>
    <col min="21" max="21" width="15.5546875" bestFit="1" customWidth="1"/>
    <col min="22" max="22" width="15.5546875" style="106" bestFit="1" customWidth="1"/>
    <col min="23" max="23" width="15.5546875" style="106" hidden="1" customWidth="1" outlineLevel="1"/>
    <col min="24" max="29" width="15.5546875" hidden="1" customWidth="1" outlineLevel="1"/>
    <col min="30" max="30" width="13.6640625" hidden="1" customWidth="1" outlineLevel="1"/>
    <col min="31" max="31" width="14" customWidth="1" collapsed="1"/>
    <col min="32" max="32" width="13.6640625" customWidth="1"/>
    <col min="33" max="35" width="9.88671875" bestFit="1" customWidth="1"/>
  </cols>
  <sheetData>
    <row r="1" spans="1:35" ht="18.600000000000001" thickBot="1" x14ac:dyDescent="0.4">
      <c r="A1" s="278"/>
      <c r="U1" s="307" t="s">
        <v>291</v>
      </c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9"/>
    </row>
    <row r="2" spans="1:35" x14ac:dyDescent="0.3">
      <c r="B2" s="279"/>
      <c r="C2" s="90" t="s">
        <v>316</v>
      </c>
      <c r="T2" s="188" t="s">
        <v>321</v>
      </c>
      <c r="U2" s="188">
        <v>309.11</v>
      </c>
      <c r="V2" s="186">
        <v>309.45999999999998</v>
      </c>
      <c r="W2" s="187">
        <v>308.42</v>
      </c>
      <c r="X2" s="188">
        <f>'éves P&amp;L_mérleg'!P66</f>
        <v>309.20999999999998</v>
      </c>
      <c r="Y2" s="188">
        <v>311.02999999999997</v>
      </c>
      <c r="Z2" s="188">
        <v>314.08</v>
      </c>
      <c r="AA2" s="188">
        <v>317.54000000000002</v>
      </c>
      <c r="AB2" s="188">
        <f>'éves P&amp;L_mérleg'!Q66</f>
        <v>318.87</v>
      </c>
      <c r="AC2" s="188">
        <v>318.07</v>
      </c>
      <c r="AD2" s="188">
        <v>320.57</v>
      </c>
      <c r="AE2" s="188">
        <v>323.16000000000003</v>
      </c>
      <c r="AF2" s="188">
        <v>325.35000000000002</v>
      </c>
      <c r="AG2" s="188">
        <v>339.05</v>
      </c>
      <c r="AH2" s="188">
        <v>345.15</v>
      </c>
      <c r="AI2" s="188">
        <v>348.03</v>
      </c>
    </row>
    <row r="3" spans="1:35" outlineLevel="1" x14ac:dyDescent="0.3">
      <c r="A3" s="1" t="s">
        <v>311</v>
      </c>
      <c r="B3" s="153"/>
      <c r="C3" s="153" t="s">
        <v>310</v>
      </c>
      <c r="D3" s="101" t="s">
        <v>292</v>
      </c>
      <c r="E3" s="101" t="s">
        <v>294</v>
      </c>
      <c r="F3" s="101" t="s">
        <v>295</v>
      </c>
      <c r="G3" s="101" t="s">
        <v>296</v>
      </c>
      <c r="H3" s="101" t="s">
        <v>297</v>
      </c>
      <c r="I3" s="101" t="s">
        <v>293</v>
      </c>
      <c r="J3" s="101" t="s">
        <v>298</v>
      </c>
      <c r="K3" s="101" t="s">
        <v>301</v>
      </c>
      <c r="L3" s="101" t="s">
        <v>302</v>
      </c>
      <c r="M3" s="101" t="s">
        <v>300</v>
      </c>
      <c r="N3" s="101" t="s">
        <v>299</v>
      </c>
      <c r="O3" s="101" t="s">
        <v>319</v>
      </c>
      <c r="P3" s="101" t="s">
        <v>318</v>
      </c>
      <c r="Q3" s="101" t="s">
        <v>320</v>
      </c>
      <c r="R3" s="101" t="s">
        <v>411</v>
      </c>
      <c r="U3" s="101" t="s">
        <v>292</v>
      </c>
      <c r="V3" s="101" t="s">
        <v>294</v>
      </c>
      <c r="W3" s="101" t="s">
        <v>295</v>
      </c>
      <c r="X3" s="101" t="s">
        <v>296</v>
      </c>
      <c r="Y3" s="101" t="s">
        <v>297</v>
      </c>
      <c r="Z3" s="101" t="s">
        <v>293</v>
      </c>
      <c r="AA3" s="101" t="s">
        <v>298</v>
      </c>
      <c r="AB3" s="101" t="s">
        <v>301</v>
      </c>
      <c r="AC3" s="101" t="s">
        <v>302</v>
      </c>
      <c r="AD3" s="101" t="s">
        <v>300</v>
      </c>
      <c r="AE3" s="101" t="s">
        <v>299</v>
      </c>
      <c r="AF3" s="101" t="s">
        <v>337</v>
      </c>
      <c r="AG3" s="101" t="s">
        <v>318</v>
      </c>
      <c r="AH3" s="101" t="s">
        <v>320</v>
      </c>
      <c r="AI3" s="101" t="s">
        <v>411</v>
      </c>
    </row>
    <row r="4" spans="1:35" outlineLevel="1" x14ac:dyDescent="0.3">
      <c r="B4" s="153" t="s">
        <v>93</v>
      </c>
      <c r="C4" s="154" t="s">
        <v>167</v>
      </c>
      <c r="D4" s="135" t="s">
        <v>171</v>
      </c>
      <c r="E4" s="135" t="s">
        <v>171</v>
      </c>
      <c r="F4" s="135" t="s">
        <v>171</v>
      </c>
      <c r="G4" s="135" t="s">
        <v>171</v>
      </c>
      <c r="H4" s="135" t="s">
        <v>171</v>
      </c>
      <c r="I4" s="135" t="s">
        <v>171</v>
      </c>
      <c r="J4" s="135" t="s">
        <v>171</v>
      </c>
      <c r="K4" s="135" t="s">
        <v>171</v>
      </c>
      <c r="L4" s="135" t="s">
        <v>171</v>
      </c>
      <c r="M4" s="135" t="s">
        <v>171</v>
      </c>
      <c r="N4" s="135" t="s">
        <v>171</v>
      </c>
      <c r="O4" s="135" t="s">
        <v>171</v>
      </c>
      <c r="P4" s="135" t="s">
        <v>171</v>
      </c>
      <c r="Q4" s="135" t="s">
        <v>171</v>
      </c>
      <c r="R4" s="135" t="s">
        <v>171</v>
      </c>
      <c r="U4" s="136" t="s">
        <v>181</v>
      </c>
      <c r="V4" s="101" t="s">
        <v>181</v>
      </c>
      <c r="W4" s="135" t="s">
        <v>181</v>
      </c>
      <c r="X4" s="135" t="s">
        <v>181</v>
      </c>
      <c r="Y4" s="135" t="s">
        <v>181</v>
      </c>
      <c r="Z4" s="135" t="s">
        <v>181</v>
      </c>
      <c r="AA4" s="135" t="s">
        <v>181</v>
      </c>
      <c r="AB4" s="135" t="s">
        <v>181</v>
      </c>
      <c r="AC4" s="135" t="s">
        <v>181</v>
      </c>
      <c r="AD4" s="135" t="s">
        <v>181</v>
      </c>
      <c r="AE4" s="135" t="s">
        <v>181</v>
      </c>
      <c r="AF4" s="135" t="s">
        <v>181</v>
      </c>
      <c r="AG4" s="135" t="s">
        <v>181</v>
      </c>
      <c r="AH4" s="135" t="s">
        <v>181</v>
      </c>
      <c r="AI4" s="135" t="s">
        <v>181</v>
      </c>
    </row>
    <row r="5" spans="1:35" ht="14.4" customHeight="1" outlineLevel="1" x14ac:dyDescent="0.3">
      <c r="B5" s="92" t="s">
        <v>98</v>
      </c>
      <c r="C5" s="92" t="s">
        <v>142</v>
      </c>
      <c r="D5" s="160">
        <v>4707.8136949999998</v>
      </c>
      <c r="E5" s="164">
        <v>8634.7703390000006</v>
      </c>
      <c r="F5" s="160">
        <v>12379.406604</v>
      </c>
      <c r="G5" s="164">
        <v>18389.28427</v>
      </c>
      <c r="H5" s="160">
        <v>5191.0879359999999</v>
      </c>
      <c r="I5" s="164">
        <v>9276.6434790000003</v>
      </c>
      <c r="J5" s="160">
        <v>12804</v>
      </c>
      <c r="K5" s="164">
        <v>18685.766845999999</v>
      </c>
      <c r="L5" s="160">
        <v>6494.3898570000001</v>
      </c>
      <c r="M5" s="164">
        <v>12141.442588</v>
      </c>
      <c r="N5" s="107">
        <v>17995</v>
      </c>
      <c r="O5" s="102">
        <v>25573</v>
      </c>
      <c r="P5" s="160">
        <v>9058</v>
      </c>
      <c r="Q5" s="164">
        <v>16163.527</v>
      </c>
      <c r="R5" s="107">
        <v>23469.258999999998</v>
      </c>
      <c r="U5" s="131">
        <f t="shared" ref="U5:U23" si="0">+D5/U$2*1000</f>
        <v>15230.221264274853</v>
      </c>
      <c r="V5" s="102">
        <f t="shared" ref="V5:V23" si="1">+E5/V$2*1000</f>
        <v>27902.702575454023</v>
      </c>
      <c r="W5" s="107">
        <f t="shared" ref="W5:W23" si="2">+F5/W$2*1000</f>
        <v>40138.144750664673</v>
      </c>
      <c r="X5" s="180">
        <f t="shared" ref="X5:X23" si="3">+G5/X$2*1000</f>
        <v>59471.829080560143</v>
      </c>
      <c r="Y5" s="107">
        <f t="shared" ref="Y5:Y23" si="4">+H5/Y$2*1000</f>
        <v>16689.991113397424</v>
      </c>
      <c r="Z5" s="180">
        <f t="shared" ref="Z5:Z23" si="5">+I5/Z$2*1000</f>
        <v>29535.925493504841</v>
      </c>
      <c r="AA5" s="107">
        <f t="shared" ref="AA5:AA23" si="6">+J5/AA$2*1000</f>
        <v>40322.4790577565</v>
      </c>
      <c r="AB5" s="180">
        <f t="shared" ref="AB5:AB23" si="7">+K5/AB$2*1000</f>
        <v>58599.95247593063</v>
      </c>
      <c r="AC5" s="107">
        <f t="shared" ref="AC5:AC14" si="8">+L5/AC$2*1000</f>
        <v>20418.115059578082</v>
      </c>
      <c r="AD5" s="180">
        <f t="shared" ref="AD5:AD14" si="9">+M5/AD$2*1000</f>
        <v>37874.544055900427</v>
      </c>
      <c r="AE5" s="107">
        <f t="shared" ref="AE5:AE14" si="10">+N5/AE$2*1000</f>
        <v>55684.490654784007</v>
      </c>
      <c r="AF5" s="180">
        <f t="shared" ref="AF5:AF14" si="11">+O5/AF$2*1000</f>
        <v>78601.506070385745</v>
      </c>
      <c r="AG5" s="180">
        <f t="shared" ref="AG5:AG23" si="12">+P5/AG$2*1000</f>
        <v>26715.823624834095</v>
      </c>
      <c r="AH5" s="180">
        <f t="shared" ref="AH5:AH23" si="13">+Q5/AH$2*1000</f>
        <v>46830.441836882521</v>
      </c>
      <c r="AI5" s="180">
        <f>+R5/AI$2*1000</f>
        <v>67434.586098899512</v>
      </c>
    </row>
    <row r="6" spans="1:35" outlineLevel="1" x14ac:dyDescent="0.3">
      <c r="B6" s="93" t="s">
        <v>170</v>
      </c>
      <c r="C6" s="93" t="s">
        <v>143</v>
      </c>
      <c r="D6" s="174">
        <v>-3866.575609</v>
      </c>
      <c r="E6" s="165">
        <v>-6551.1668120000004</v>
      </c>
      <c r="F6" s="174">
        <v>-9664.6009780000004</v>
      </c>
      <c r="G6" s="165">
        <v>-14606.384983</v>
      </c>
      <c r="H6" s="174">
        <v>-4157.878565</v>
      </c>
      <c r="I6" s="165">
        <v>-7213.7795980000001</v>
      </c>
      <c r="J6" s="174">
        <v>-9801</v>
      </c>
      <c r="K6" s="165">
        <v>-14264.354327999999</v>
      </c>
      <c r="L6" s="174">
        <v>-5192.2275600000003</v>
      </c>
      <c r="M6" s="165">
        <v>-8379.8780210000004</v>
      </c>
      <c r="N6" s="108">
        <v>-12710</v>
      </c>
      <c r="O6" s="103">
        <f>+'éves P&amp;L_mérleg'!J70</f>
        <v>-18211.867753999999</v>
      </c>
      <c r="P6" s="174">
        <v>-6602</v>
      </c>
      <c r="Q6" s="165">
        <v>-10936.562</v>
      </c>
      <c r="R6" s="108">
        <v>-16031.668</v>
      </c>
      <c r="U6" s="132">
        <f t="shared" si="0"/>
        <v>-12508.736724790528</v>
      </c>
      <c r="V6" s="103">
        <f t="shared" si="1"/>
        <v>-21169.672371227305</v>
      </c>
      <c r="W6" s="108">
        <f t="shared" si="2"/>
        <v>-31335.843907658385</v>
      </c>
      <c r="X6" s="181">
        <f t="shared" si="3"/>
        <v>-47237.750988001688</v>
      </c>
      <c r="Y6" s="108">
        <f t="shared" si="4"/>
        <v>-13368.094926534419</v>
      </c>
      <c r="Z6" s="181">
        <f t="shared" si="5"/>
        <v>-22967.968664034644</v>
      </c>
      <c r="AA6" s="108">
        <f t="shared" si="6"/>
        <v>-30865.402783901238</v>
      </c>
      <c r="AB6" s="181">
        <f t="shared" si="7"/>
        <v>-44734.074475491572</v>
      </c>
      <c r="AC6" s="108">
        <f t="shared" si="8"/>
        <v>-16324.166252711666</v>
      </c>
      <c r="AD6" s="181">
        <f t="shared" si="9"/>
        <v>-26140.555950338465</v>
      </c>
      <c r="AE6" s="108">
        <f t="shared" si="10"/>
        <v>-39330.362668647103</v>
      </c>
      <c r="AF6" s="181">
        <f t="shared" si="11"/>
        <v>-55976.234067926838</v>
      </c>
      <c r="AG6" s="181">
        <f t="shared" si="12"/>
        <v>-19472.054269281816</v>
      </c>
      <c r="AH6" s="181">
        <f t="shared" si="13"/>
        <v>-31686.403013182677</v>
      </c>
      <c r="AI6" s="181">
        <f t="shared" ref="AI6:AI23" si="14">+R6/AI$2*1000</f>
        <v>-46064.040456282506</v>
      </c>
    </row>
    <row r="7" spans="1:35" outlineLevel="1" x14ac:dyDescent="0.3">
      <c r="B7" s="94" t="s">
        <v>144</v>
      </c>
      <c r="C7" s="94" t="s">
        <v>145</v>
      </c>
      <c r="D7" s="174">
        <v>-570.57811400000003</v>
      </c>
      <c r="E7" s="165">
        <v>-1107.2819280000001</v>
      </c>
      <c r="F7" s="174">
        <v>-1702.3162199999999</v>
      </c>
      <c r="G7" s="165">
        <v>-2153.922556</v>
      </c>
      <c r="H7" s="174">
        <v>-622.849559</v>
      </c>
      <c r="I7" s="165">
        <v>-1245.3993559999999</v>
      </c>
      <c r="J7" s="174">
        <v>-1808.0923909999999</v>
      </c>
      <c r="K7" s="165">
        <v>-2506.5336560000001</v>
      </c>
      <c r="L7" s="174">
        <v>-650.11555499999997</v>
      </c>
      <c r="M7" s="165">
        <v>-1290.5134969999999</v>
      </c>
      <c r="N7" s="109">
        <v>-2122</v>
      </c>
      <c r="O7" s="103">
        <f>+'éves P&amp;L_mérleg'!J71</f>
        <v>-2858.1641120000004</v>
      </c>
      <c r="P7" s="174">
        <v>-767</v>
      </c>
      <c r="Q7" s="165">
        <v>-1557.479</v>
      </c>
      <c r="R7" s="109">
        <v>-2417.9870000000001</v>
      </c>
      <c r="U7" s="133">
        <f t="shared" si="0"/>
        <v>-1845.8740060172754</v>
      </c>
      <c r="V7" s="104">
        <f t="shared" si="1"/>
        <v>-3578.1100239126226</v>
      </c>
      <c r="W7" s="109">
        <f t="shared" si="2"/>
        <v>-5519.4741586148757</v>
      </c>
      <c r="X7" s="182">
        <f t="shared" si="3"/>
        <v>-6965.8890592154212</v>
      </c>
      <c r="Y7" s="109">
        <f t="shared" si="4"/>
        <v>-2002.5385300453333</v>
      </c>
      <c r="Z7" s="182">
        <f t="shared" si="5"/>
        <v>-3965.2297376464594</v>
      </c>
      <c r="AA7" s="109">
        <f t="shared" si="6"/>
        <v>-5694.061822132644</v>
      </c>
      <c r="AB7" s="182">
        <f t="shared" si="7"/>
        <v>-7860.675686016245</v>
      </c>
      <c r="AC7" s="109">
        <f t="shared" si="8"/>
        <v>-2043.9386141415409</v>
      </c>
      <c r="AD7" s="182">
        <f t="shared" si="9"/>
        <v>-4025.6839286271324</v>
      </c>
      <c r="AE7" s="109">
        <f t="shared" si="10"/>
        <v>-6566.4067335066211</v>
      </c>
      <c r="AF7" s="182">
        <f t="shared" si="11"/>
        <v>-8784.8904625787618</v>
      </c>
      <c r="AG7" s="182">
        <f t="shared" si="12"/>
        <v>-2262.2032148650637</v>
      </c>
      <c r="AH7" s="182">
        <f t="shared" si="13"/>
        <v>-4512.4699406055342</v>
      </c>
      <c r="AI7" s="182">
        <f t="shared" si="14"/>
        <v>-6947.6395713013253</v>
      </c>
    </row>
    <row r="8" spans="1:35" outlineLevel="1" x14ac:dyDescent="0.3">
      <c r="B8" s="94" t="s">
        <v>146</v>
      </c>
      <c r="C8" s="94" t="s">
        <v>147</v>
      </c>
      <c r="D8" s="174">
        <v>-150.23280800000001</v>
      </c>
      <c r="E8" s="165">
        <v>-284.247075</v>
      </c>
      <c r="F8" s="174">
        <v>-419.81182200000001</v>
      </c>
      <c r="G8" s="165">
        <v>-571.66508499999998</v>
      </c>
      <c r="H8" s="174">
        <v>-159.68045100000001</v>
      </c>
      <c r="I8" s="165">
        <v>-336.25823700000001</v>
      </c>
      <c r="J8" s="174">
        <v>-502.08338300000003</v>
      </c>
      <c r="K8" s="165">
        <v>-729.81811600000003</v>
      </c>
      <c r="L8" s="174">
        <v>-252.92470599999999</v>
      </c>
      <c r="M8" s="165">
        <v>-908.34394999999995</v>
      </c>
      <c r="N8" s="109">
        <v>-1545</v>
      </c>
      <c r="O8" s="103">
        <f>+'éves P&amp;L_mérleg'!J72</f>
        <v>-2045.7517579999999</v>
      </c>
      <c r="P8" s="174">
        <v>-626</v>
      </c>
      <c r="Q8" s="165">
        <v>-1303.088</v>
      </c>
      <c r="R8" s="109">
        <v>-1941.201</v>
      </c>
      <c r="U8" s="133">
        <f t="shared" si="0"/>
        <v>-486.01730128433246</v>
      </c>
      <c r="V8" s="104">
        <f t="shared" si="1"/>
        <v>-918.52606152653016</v>
      </c>
      <c r="W8" s="109">
        <f t="shared" si="2"/>
        <v>-1361.1692562090657</v>
      </c>
      <c r="X8" s="182">
        <f t="shared" si="3"/>
        <v>-1848.7923579444391</v>
      </c>
      <c r="Y8" s="109">
        <f t="shared" si="4"/>
        <v>-513.39244124361005</v>
      </c>
      <c r="Z8" s="182">
        <f t="shared" si="5"/>
        <v>-1070.6133373662763</v>
      </c>
      <c r="AA8" s="109">
        <f t="shared" si="6"/>
        <v>-1581.1657838382566</v>
      </c>
      <c r="AB8" s="182">
        <f t="shared" si="7"/>
        <v>-2288.763809703014</v>
      </c>
      <c r="AC8" s="109">
        <f t="shared" si="8"/>
        <v>-795.18566982110849</v>
      </c>
      <c r="AD8" s="182">
        <f t="shared" si="9"/>
        <v>-2833.5276226721153</v>
      </c>
      <c r="AE8" s="109">
        <f t="shared" si="10"/>
        <v>-4780.9134793910134</v>
      </c>
      <c r="AF8" s="182">
        <f t="shared" si="11"/>
        <v>-6287.849263869678</v>
      </c>
      <c r="AG8" s="182">
        <f t="shared" si="12"/>
        <v>-1846.3353487686181</v>
      </c>
      <c r="AH8" s="182">
        <f t="shared" si="13"/>
        <v>-3775.4251774590762</v>
      </c>
      <c r="AI8" s="182">
        <f t="shared" si="14"/>
        <v>-5577.6829583656581</v>
      </c>
    </row>
    <row r="9" spans="1:35" outlineLevel="1" x14ac:dyDescent="0.3">
      <c r="B9" s="94" t="s">
        <v>108</v>
      </c>
      <c r="C9" s="94" t="s">
        <v>148</v>
      </c>
      <c r="D9" s="174">
        <v>198.49933899999999</v>
      </c>
      <c r="E9" s="165">
        <v>287.04914300000002</v>
      </c>
      <c r="F9" s="174">
        <v>387.114529</v>
      </c>
      <c r="G9" s="165">
        <v>305.97678999999999</v>
      </c>
      <c r="H9" s="174">
        <v>-5.2825069999999998</v>
      </c>
      <c r="I9" s="165">
        <v>118.66872499999999</v>
      </c>
      <c r="J9" s="174">
        <v>-28.553673</v>
      </c>
      <c r="K9" s="165">
        <v>-114.311959</v>
      </c>
      <c r="L9" s="174">
        <v>-198.214327</v>
      </c>
      <c r="M9" s="165">
        <v>-348.20757500000002</v>
      </c>
      <c r="N9" s="109">
        <v>-364</v>
      </c>
      <c r="O9" s="103">
        <f>+'éves P&amp;L_mérleg'!J73</f>
        <v>-804.28131999999994</v>
      </c>
      <c r="P9" s="174">
        <v>-529</v>
      </c>
      <c r="Q9" s="165">
        <v>-532.10900000000004</v>
      </c>
      <c r="R9" s="109">
        <v>-591.39800000000002</v>
      </c>
      <c r="U9" s="133">
        <f t="shared" si="0"/>
        <v>642.16408074795368</v>
      </c>
      <c r="V9" s="104">
        <f t="shared" si="1"/>
        <v>927.58076326504249</v>
      </c>
      <c r="W9" s="109">
        <f t="shared" si="2"/>
        <v>1255.1537805589778</v>
      </c>
      <c r="X9" s="182">
        <f t="shared" si="3"/>
        <v>989.54364347854221</v>
      </c>
      <c r="Y9" s="109">
        <f t="shared" si="4"/>
        <v>-16.983914734913032</v>
      </c>
      <c r="Z9" s="182">
        <f t="shared" si="5"/>
        <v>377.82961347427408</v>
      </c>
      <c r="AA9" s="109">
        <f t="shared" si="6"/>
        <v>-89.921499653586935</v>
      </c>
      <c r="AB9" s="182">
        <f t="shared" si="7"/>
        <v>-358.49079248596604</v>
      </c>
      <c r="AC9" s="109">
        <f t="shared" si="8"/>
        <v>-623.17831609394159</v>
      </c>
      <c r="AD9" s="182">
        <f t="shared" si="9"/>
        <v>-1086.2138534485448</v>
      </c>
      <c r="AE9" s="109">
        <f t="shared" si="10"/>
        <v>-1126.3770268597598</v>
      </c>
      <c r="AF9" s="182">
        <f t="shared" si="11"/>
        <v>-2472.0495466420775</v>
      </c>
      <c r="AG9" s="182">
        <f t="shared" si="12"/>
        <v>-1560.2418522341836</v>
      </c>
      <c r="AH9" s="182">
        <f t="shared" si="13"/>
        <v>-1541.6746342170075</v>
      </c>
      <c r="AI9" s="182">
        <f t="shared" si="14"/>
        <v>-1699.2730511737495</v>
      </c>
    </row>
    <row r="10" spans="1:35" outlineLevel="1" x14ac:dyDescent="0.3">
      <c r="B10" s="94" t="s">
        <v>149</v>
      </c>
      <c r="C10" s="94" t="s">
        <v>150</v>
      </c>
      <c r="D10" s="174">
        <v>0</v>
      </c>
      <c r="E10" s="165">
        <v>0</v>
      </c>
      <c r="F10" s="174">
        <v>0</v>
      </c>
      <c r="G10" s="165">
        <v>-1.35</v>
      </c>
      <c r="H10" s="174">
        <v>0</v>
      </c>
      <c r="I10" s="165">
        <v>-22.455480999999999</v>
      </c>
      <c r="J10" s="174">
        <v>-28.251795000000001</v>
      </c>
      <c r="K10" s="165">
        <v>-32.522967000000001</v>
      </c>
      <c r="L10" s="174">
        <v>0</v>
      </c>
      <c r="M10" s="165">
        <v>-80.143831000000006</v>
      </c>
      <c r="N10" s="109">
        <v>-82</v>
      </c>
      <c r="O10" s="104">
        <v>0</v>
      </c>
      <c r="P10" s="174">
        <v>-1</v>
      </c>
      <c r="Q10" s="165">
        <v>-0.38100000000000001</v>
      </c>
      <c r="R10" s="109">
        <v>-0.38100000000000001</v>
      </c>
      <c r="U10" s="133">
        <f t="shared" si="0"/>
        <v>0</v>
      </c>
      <c r="V10" s="104">
        <f t="shared" si="1"/>
        <v>0</v>
      </c>
      <c r="W10" s="109">
        <f t="shared" si="2"/>
        <v>0</v>
      </c>
      <c r="X10" s="182">
        <f t="shared" si="3"/>
        <v>-4.365964878238092</v>
      </c>
      <c r="Y10" s="109">
        <f t="shared" si="4"/>
        <v>0</v>
      </c>
      <c r="Z10" s="182">
        <f t="shared" si="5"/>
        <v>-71.496055145185935</v>
      </c>
      <c r="AA10" s="109">
        <f t="shared" si="6"/>
        <v>-88.970822573534051</v>
      </c>
      <c r="AB10" s="182">
        <f t="shared" si="7"/>
        <v>-101.99443974033305</v>
      </c>
      <c r="AC10" s="109">
        <f t="shared" si="8"/>
        <v>0</v>
      </c>
      <c r="AD10" s="182">
        <f t="shared" si="9"/>
        <v>-250.00415197928695</v>
      </c>
      <c r="AE10" s="109">
        <f t="shared" si="10"/>
        <v>-253.74427528159421</v>
      </c>
      <c r="AF10" s="182">
        <f t="shared" si="11"/>
        <v>0</v>
      </c>
      <c r="AG10" s="182">
        <f t="shared" si="12"/>
        <v>-2.949417490045716</v>
      </c>
      <c r="AH10" s="182">
        <f t="shared" si="13"/>
        <v>-1.1038678835289006</v>
      </c>
      <c r="AI10" s="182">
        <f t="shared" si="14"/>
        <v>-1.0947332126540816</v>
      </c>
    </row>
    <row r="11" spans="1:35" outlineLevel="1" x14ac:dyDescent="0.3">
      <c r="B11" s="87" t="s">
        <v>151</v>
      </c>
      <c r="C11" s="87" t="s">
        <v>152</v>
      </c>
      <c r="D11" s="160">
        <v>318.9265029999998</v>
      </c>
      <c r="E11" s="164">
        <v>979.12366700000007</v>
      </c>
      <c r="F11" s="160">
        <v>979.79211299999952</v>
      </c>
      <c r="G11" s="164">
        <v>1361.9384360000001</v>
      </c>
      <c r="H11" s="160">
        <v>245.39685399999991</v>
      </c>
      <c r="I11" s="164">
        <v>577.41953200000034</v>
      </c>
      <c r="J11" s="200">
        <v>636.01875800000005</v>
      </c>
      <c r="K11" s="201">
        <v>1038.225819999999</v>
      </c>
      <c r="L11" s="200">
        <v>200.90770899999987</v>
      </c>
      <c r="M11" s="201">
        <v>1134.3557139999996</v>
      </c>
      <c r="N11" s="201">
        <v>1172</v>
      </c>
      <c r="O11" s="84">
        <f>+'éves P&amp;L_mérleg'!J75</f>
        <v>1653.2853070000006</v>
      </c>
      <c r="P11" s="200">
        <f>SUM(P5:P10)</f>
        <v>533</v>
      </c>
      <c r="Q11" s="201">
        <f>SUM(Q5:Q10)</f>
        <v>1833.9080000000001</v>
      </c>
      <c r="R11" s="200">
        <f>SUM(R5:R10)</f>
        <v>2486.6239999999984</v>
      </c>
      <c r="U11" s="110">
        <f t="shared" si="0"/>
        <v>1031.7573129306711</v>
      </c>
      <c r="V11" s="84">
        <f t="shared" si="1"/>
        <v>3163.9748820526083</v>
      </c>
      <c r="W11" s="110">
        <f t="shared" si="2"/>
        <v>3176.8112087413251</v>
      </c>
      <c r="X11" s="183">
        <f t="shared" si="3"/>
        <v>4404.5743539989016</v>
      </c>
      <c r="Y11" s="110">
        <f t="shared" si="4"/>
        <v>788.98130083914702</v>
      </c>
      <c r="Z11" s="183">
        <f t="shared" si="5"/>
        <v>1838.4473127865524</v>
      </c>
      <c r="AA11" s="110">
        <f t="shared" si="6"/>
        <v>2002.9563456572398</v>
      </c>
      <c r="AB11" s="183">
        <f t="shared" si="7"/>
        <v>3255.9532724934893</v>
      </c>
      <c r="AC11" s="110">
        <f t="shared" si="8"/>
        <v>631.64620680982136</v>
      </c>
      <c r="AD11" s="183">
        <f t="shared" si="9"/>
        <v>3538.5585488348866</v>
      </c>
      <c r="AE11" s="110">
        <f t="shared" si="10"/>
        <v>3626.686471097908</v>
      </c>
      <c r="AF11" s="183">
        <f t="shared" si="11"/>
        <v>5081.5592654064867</v>
      </c>
      <c r="AG11" s="183">
        <f t="shared" si="12"/>
        <v>1572.0395221943666</v>
      </c>
      <c r="AH11" s="183">
        <f t="shared" si="13"/>
        <v>5313.3652035346959</v>
      </c>
      <c r="AI11" s="183">
        <f t="shared" si="14"/>
        <v>7144.8553285636262</v>
      </c>
    </row>
    <row r="12" spans="1:35" outlineLevel="1" x14ac:dyDescent="0.3">
      <c r="B12" s="94" t="s">
        <v>153</v>
      </c>
      <c r="C12" s="94" t="s">
        <v>154</v>
      </c>
      <c r="D12" s="161">
        <v>-93.023401000000007</v>
      </c>
      <c r="E12" s="168">
        <v>-176.415548</v>
      </c>
      <c r="F12" s="161">
        <v>-245.766569</v>
      </c>
      <c r="G12" s="168">
        <v>-329.10903100000002</v>
      </c>
      <c r="H12" s="161">
        <v>-61.70966</v>
      </c>
      <c r="I12" s="168">
        <v>-25.957788999999998</v>
      </c>
      <c r="J12" s="161">
        <v>-117.27139</v>
      </c>
      <c r="K12" s="168">
        <v>-232.33348899999999</v>
      </c>
      <c r="L12" s="161">
        <v>-147.007822</v>
      </c>
      <c r="M12" s="168">
        <v>-361.33734099999998</v>
      </c>
      <c r="N12" s="109">
        <v>-511</v>
      </c>
      <c r="O12" s="104">
        <f>+'éves P&amp;L_mérleg'!J76</f>
        <v>-943.82029</v>
      </c>
      <c r="P12" s="161">
        <v>9</v>
      </c>
      <c r="Q12" s="168">
        <v>-312</v>
      </c>
      <c r="R12" s="109">
        <v>-563.74800000000005</v>
      </c>
      <c r="U12" s="133">
        <f t="shared" si="0"/>
        <v>-300.93947462068519</v>
      </c>
      <c r="V12" s="104">
        <f t="shared" si="1"/>
        <v>-570.07544755380343</v>
      </c>
      <c r="W12" s="109">
        <f t="shared" si="2"/>
        <v>-796.85678295830348</v>
      </c>
      <c r="X12" s="182">
        <f t="shared" si="3"/>
        <v>-1064.3544225607193</v>
      </c>
      <c r="Y12" s="109">
        <f t="shared" si="4"/>
        <v>-198.40420538211751</v>
      </c>
      <c r="Z12" s="182">
        <f t="shared" si="5"/>
        <v>-82.647061258278143</v>
      </c>
      <c r="AA12" s="109">
        <f t="shared" si="6"/>
        <v>-369.31218114253318</v>
      </c>
      <c r="AB12" s="182">
        <f t="shared" si="7"/>
        <v>-728.61507510897854</v>
      </c>
      <c r="AC12" s="109">
        <f t="shared" si="8"/>
        <v>-462.18700914892952</v>
      </c>
      <c r="AD12" s="182">
        <f t="shared" si="9"/>
        <v>-1127.1714165392893</v>
      </c>
      <c r="AE12" s="109">
        <f t="shared" si="10"/>
        <v>-1581.2600569377398</v>
      </c>
      <c r="AF12" s="182">
        <f t="shared" si="11"/>
        <v>-2900.9383433225753</v>
      </c>
      <c r="AG12" s="182">
        <f t="shared" si="12"/>
        <v>26.544757410411442</v>
      </c>
      <c r="AH12" s="182">
        <f t="shared" si="13"/>
        <v>-903.95480225988706</v>
      </c>
      <c r="AI12" s="182">
        <f t="shared" si="14"/>
        <v>-1619.8258770795624</v>
      </c>
    </row>
    <row r="13" spans="1:35" outlineLevel="1" x14ac:dyDescent="0.3">
      <c r="B13" s="88" t="s">
        <v>120</v>
      </c>
      <c r="C13" s="88" t="s">
        <v>155</v>
      </c>
      <c r="D13" s="160">
        <v>225.90310199999979</v>
      </c>
      <c r="E13" s="164">
        <v>802.70811900000012</v>
      </c>
      <c r="F13" s="160">
        <v>734.02554399999951</v>
      </c>
      <c r="G13" s="164">
        <v>1032.8294050000002</v>
      </c>
      <c r="H13" s="160">
        <v>183.68719399999992</v>
      </c>
      <c r="I13" s="164">
        <v>551.4617430000003</v>
      </c>
      <c r="J13" s="160">
        <v>518.74736800000005</v>
      </c>
      <c r="K13" s="164">
        <v>805.89233099999899</v>
      </c>
      <c r="L13" s="160">
        <v>53.899886999999865</v>
      </c>
      <c r="M13" s="164">
        <v>773.01837299999966</v>
      </c>
      <c r="N13" s="200">
        <v>661</v>
      </c>
      <c r="O13" s="84">
        <f>+'éves P&amp;L_mérleg'!J77</f>
        <v>709.46501700000056</v>
      </c>
      <c r="P13" s="160">
        <f>+P11+P12</f>
        <v>542</v>
      </c>
      <c r="Q13" s="164">
        <f>+Q11+Q12</f>
        <v>1521.9080000000001</v>
      </c>
      <c r="R13" s="200">
        <f>+R11+R12</f>
        <v>1922.8759999999984</v>
      </c>
      <c r="U13" s="110">
        <f t="shared" si="0"/>
        <v>730.81783830998609</v>
      </c>
      <c r="V13" s="84">
        <f t="shared" si="1"/>
        <v>2593.899434498805</v>
      </c>
      <c r="W13" s="110">
        <f t="shared" si="2"/>
        <v>2379.9544257830216</v>
      </c>
      <c r="X13" s="183">
        <f t="shared" si="3"/>
        <v>3340.2199314381819</v>
      </c>
      <c r="Y13" s="110">
        <f t="shared" si="4"/>
        <v>590.5770954570296</v>
      </c>
      <c r="Z13" s="183">
        <f t="shared" si="5"/>
        <v>1755.800251528274</v>
      </c>
      <c r="AA13" s="110">
        <f t="shared" si="6"/>
        <v>1633.6441645147067</v>
      </c>
      <c r="AB13" s="183">
        <f t="shared" si="7"/>
        <v>2527.3381973845107</v>
      </c>
      <c r="AC13" s="110">
        <f t="shared" si="8"/>
        <v>169.45919766089185</v>
      </c>
      <c r="AD13" s="183">
        <f t="shared" si="9"/>
        <v>2411.3871322955974</v>
      </c>
      <c r="AE13" s="110">
        <f t="shared" si="10"/>
        <v>2045.4264141601684</v>
      </c>
      <c r="AF13" s="183">
        <f t="shared" si="11"/>
        <v>2180.6209220839114</v>
      </c>
      <c r="AG13" s="183">
        <f t="shared" si="12"/>
        <v>1598.584279604778</v>
      </c>
      <c r="AH13" s="183">
        <f t="shared" si="13"/>
        <v>4409.4104012748085</v>
      </c>
      <c r="AI13" s="183">
        <f t="shared" si="14"/>
        <v>5525.0294514840634</v>
      </c>
    </row>
    <row r="14" spans="1:35" outlineLevel="1" x14ac:dyDescent="0.3">
      <c r="B14" s="94" t="s">
        <v>122</v>
      </c>
      <c r="C14" s="94" t="s">
        <v>156</v>
      </c>
      <c r="D14" s="161">
        <v>-287.95242300000001</v>
      </c>
      <c r="E14" s="168">
        <v>-215.85485499999999</v>
      </c>
      <c r="F14" s="161">
        <v>-211.40517</v>
      </c>
      <c r="G14" s="168">
        <v>-117.87471600000001</v>
      </c>
      <c r="H14" s="161">
        <v>-51.014071000000001</v>
      </c>
      <c r="I14" s="168">
        <v>-200.574298</v>
      </c>
      <c r="J14" s="161">
        <v>-216.30257399999999</v>
      </c>
      <c r="K14" s="168">
        <v>-275.81400000000002</v>
      </c>
      <c r="L14" s="161">
        <v>-77.511156</v>
      </c>
      <c r="M14" s="168">
        <v>-289.70930399999997</v>
      </c>
      <c r="N14" s="161">
        <v>-298</v>
      </c>
      <c r="O14" s="104">
        <f>+'éves P&amp;L_mérleg'!J78</f>
        <v>-435.83447100000001</v>
      </c>
      <c r="P14" s="161">
        <v>-152</v>
      </c>
      <c r="Q14" s="168">
        <v>-458</v>
      </c>
      <c r="R14" s="161">
        <v>-740.84500000000003</v>
      </c>
      <c r="U14" s="133">
        <f t="shared" si="0"/>
        <v>-931.55324318203884</v>
      </c>
      <c r="V14" s="104">
        <f t="shared" si="1"/>
        <v>-697.52102048730046</v>
      </c>
      <c r="W14" s="109">
        <f t="shared" si="2"/>
        <v>-685.44572336424346</v>
      </c>
      <c r="X14" s="182">
        <f t="shared" si="3"/>
        <v>-381.21249636169597</v>
      </c>
      <c r="Y14" s="109">
        <f t="shared" si="4"/>
        <v>-164.01656110343055</v>
      </c>
      <c r="Z14" s="182">
        <f t="shared" si="5"/>
        <v>-638.60894676515545</v>
      </c>
      <c r="AA14" s="109">
        <f t="shared" si="6"/>
        <v>-681.18213138502222</v>
      </c>
      <c r="AB14" s="182">
        <f t="shared" si="7"/>
        <v>-864.97318656505797</v>
      </c>
      <c r="AC14" s="109">
        <f t="shared" si="8"/>
        <v>-243.69213066306159</v>
      </c>
      <c r="AD14" s="182">
        <f t="shared" si="9"/>
        <v>-903.73180272639354</v>
      </c>
      <c r="AE14" s="109">
        <f t="shared" si="10"/>
        <v>-922.14382968189125</v>
      </c>
      <c r="AF14" s="182">
        <f t="shared" si="11"/>
        <v>-1339.5865099124021</v>
      </c>
      <c r="AG14" s="182">
        <f t="shared" si="12"/>
        <v>-448.31145848694882</v>
      </c>
      <c r="AH14" s="182">
        <f t="shared" si="13"/>
        <v>-1326.9592930609881</v>
      </c>
      <c r="AI14" s="182">
        <f t="shared" si="14"/>
        <v>-2128.6814355084334</v>
      </c>
    </row>
    <row r="15" spans="1:35" outlineLevel="1" x14ac:dyDescent="0.3">
      <c r="B15" s="283" t="s">
        <v>412</v>
      </c>
      <c r="C15" s="284" t="s">
        <v>413</v>
      </c>
      <c r="D15" s="281"/>
      <c r="E15" s="282"/>
      <c r="F15" s="281"/>
      <c r="G15" s="282"/>
      <c r="H15" s="281"/>
      <c r="I15" s="282"/>
      <c r="J15" s="281"/>
      <c r="K15" s="282"/>
      <c r="L15" s="281"/>
      <c r="M15" s="282"/>
      <c r="N15" s="281"/>
      <c r="O15" s="104"/>
      <c r="P15" s="281">
        <v>-129</v>
      </c>
      <c r="Q15" s="282"/>
      <c r="R15" s="281"/>
      <c r="U15" s="133"/>
      <c r="V15" s="104"/>
      <c r="W15" s="109"/>
      <c r="X15" s="182"/>
      <c r="Y15" s="109"/>
      <c r="Z15" s="182"/>
      <c r="AA15" s="109"/>
      <c r="AB15" s="182"/>
      <c r="AC15" s="109"/>
      <c r="AD15" s="182"/>
      <c r="AE15" s="109"/>
      <c r="AF15" s="182"/>
      <c r="AG15" s="182">
        <f t="shared" si="12"/>
        <v>-380.47485621589732</v>
      </c>
      <c r="AH15" s="182"/>
      <c r="AI15" s="182">
        <f t="shared" si="14"/>
        <v>0</v>
      </c>
    </row>
    <row r="16" spans="1:35" ht="28.8" outlineLevel="1" x14ac:dyDescent="0.3">
      <c r="B16" s="88" t="s">
        <v>124</v>
      </c>
      <c r="C16" s="88" t="s">
        <v>157</v>
      </c>
      <c r="D16" s="162">
        <v>-62.049321000000219</v>
      </c>
      <c r="E16" s="169">
        <v>586.85326400000008</v>
      </c>
      <c r="F16" s="162">
        <v>522.62037399999952</v>
      </c>
      <c r="G16" s="169">
        <v>914.95468900000014</v>
      </c>
      <c r="H16" s="162">
        <v>132.67312299999992</v>
      </c>
      <c r="I16" s="169">
        <v>350.8874450000003</v>
      </c>
      <c r="J16" s="162">
        <v>303</v>
      </c>
      <c r="K16" s="169">
        <v>530.07833099999903</v>
      </c>
      <c r="L16" s="162">
        <v>-23.611269000000135</v>
      </c>
      <c r="M16" s="169">
        <v>483.30906899999968</v>
      </c>
      <c r="N16" s="162">
        <v>363</v>
      </c>
      <c r="O16" s="84">
        <f>+O13+O14</f>
        <v>273.63054600000055</v>
      </c>
      <c r="P16" s="162">
        <f>+P13+P14</f>
        <v>390</v>
      </c>
      <c r="Q16" s="169">
        <f>+Q13+Q14</f>
        <v>1063.9080000000001</v>
      </c>
      <c r="R16" s="162">
        <f>+R13+R14</f>
        <v>1182.0309999999984</v>
      </c>
      <c r="U16" s="110">
        <f t="shared" si="0"/>
        <v>-200.73540487205273</v>
      </c>
      <c r="V16" s="84">
        <f t="shared" si="1"/>
        <v>1896.3784140115042</v>
      </c>
      <c r="W16" s="110">
        <f t="shared" si="2"/>
        <v>1694.5087024187778</v>
      </c>
      <c r="X16" s="183">
        <f t="shared" si="3"/>
        <v>2959.0074350764862</v>
      </c>
      <c r="Y16" s="110">
        <f t="shared" si="4"/>
        <v>426.56053435359911</v>
      </c>
      <c r="Z16" s="183">
        <f t="shared" si="5"/>
        <v>1117.1913047631188</v>
      </c>
      <c r="AA16" s="110">
        <f t="shared" si="6"/>
        <v>954.2104931662152</v>
      </c>
      <c r="AB16" s="183">
        <f t="shared" si="7"/>
        <v>1662.3650108194531</v>
      </c>
      <c r="AC16" s="110">
        <f t="shared" ref="AC16:AF23" si="15">+L16/AC$2*1000</f>
        <v>-74.232933002169759</v>
      </c>
      <c r="AD16" s="183">
        <f t="shared" si="15"/>
        <v>1507.6553295692038</v>
      </c>
      <c r="AE16" s="110">
        <f t="shared" si="15"/>
        <v>1123.2825844782769</v>
      </c>
      <c r="AF16" s="183">
        <f t="shared" si="15"/>
        <v>841.03441217150919</v>
      </c>
      <c r="AG16" s="183">
        <f t="shared" si="12"/>
        <v>1150.2728211178292</v>
      </c>
      <c r="AH16" s="183">
        <f t="shared" si="13"/>
        <v>3082.451108213821</v>
      </c>
      <c r="AI16" s="183">
        <f t="shared" si="14"/>
        <v>3396.34801597563</v>
      </c>
    </row>
    <row r="17" spans="1:35" outlineLevel="1" x14ac:dyDescent="0.3">
      <c r="B17" s="95" t="s">
        <v>126</v>
      </c>
      <c r="C17" s="94" t="s">
        <v>158</v>
      </c>
      <c r="D17" s="163">
        <v>-61.606999000000002</v>
      </c>
      <c r="E17" s="170">
        <v>588.32684300000005</v>
      </c>
      <c r="F17" s="163">
        <v>524.43603960000007</v>
      </c>
      <c r="G17" s="170">
        <v>912.52596700000004</v>
      </c>
      <c r="H17" s="163">
        <v>132.9661706</v>
      </c>
      <c r="I17" s="170">
        <v>351.81632500000001</v>
      </c>
      <c r="J17" s="163">
        <v>304</v>
      </c>
      <c r="K17" s="170">
        <v>511.26202000000001</v>
      </c>
      <c r="L17" s="163">
        <v>-23.343465999999999</v>
      </c>
      <c r="M17" s="170">
        <v>483.57687199999998</v>
      </c>
      <c r="N17" s="163">
        <v>365</v>
      </c>
      <c r="O17" s="104">
        <f>+'éves P&amp;L_mérleg'!J81</f>
        <v>270.71654599999812</v>
      </c>
      <c r="P17" s="163">
        <v>389</v>
      </c>
      <c r="Q17" s="170">
        <v>1062</v>
      </c>
      <c r="R17" s="163">
        <v>1175.8689999999999</v>
      </c>
      <c r="U17" s="133">
        <f t="shared" si="0"/>
        <v>-199.30445148976091</v>
      </c>
      <c r="V17" s="104">
        <f t="shared" si="1"/>
        <v>1901.1401893621148</v>
      </c>
      <c r="W17" s="109">
        <f t="shared" si="2"/>
        <v>1700.395692886324</v>
      </c>
      <c r="X17" s="182">
        <f t="shared" si="3"/>
        <v>2951.1528314090751</v>
      </c>
      <c r="Y17" s="109">
        <f t="shared" si="4"/>
        <v>427.50271870880624</v>
      </c>
      <c r="Z17" s="182">
        <f t="shared" si="5"/>
        <v>1120.1487678298522</v>
      </c>
      <c r="AA17" s="109">
        <f t="shared" si="6"/>
        <v>957.35970271461861</v>
      </c>
      <c r="AB17" s="182">
        <f t="shared" si="7"/>
        <v>1603.3556621820803</v>
      </c>
      <c r="AC17" s="109">
        <f t="shared" si="15"/>
        <v>-73.390970541075859</v>
      </c>
      <c r="AD17" s="182">
        <f t="shared" si="15"/>
        <v>1508.4907258945004</v>
      </c>
      <c r="AE17" s="109">
        <f t="shared" si="15"/>
        <v>1129.4714692412426</v>
      </c>
      <c r="AF17" s="182">
        <f t="shared" si="15"/>
        <v>832.07790379590631</v>
      </c>
      <c r="AG17" s="182">
        <f t="shared" si="12"/>
        <v>1147.3234036277836</v>
      </c>
      <c r="AH17" s="182">
        <f t="shared" si="13"/>
        <v>3076.9230769230771</v>
      </c>
      <c r="AI17" s="182">
        <f t="shared" si="14"/>
        <v>3378.6426457489297</v>
      </c>
    </row>
    <row r="18" spans="1:35" ht="28.8" outlineLevel="1" x14ac:dyDescent="0.3">
      <c r="B18" s="96" t="s">
        <v>159</v>
      </c>
      <c r="C18" s="96" t="s">
        <v>160</v>
      </c>
      <c r="D18" s="161">
        <v>-0.44232200000021749</v>
      </c>
      <c r="E18" s="168">
        <v>-1.4735789999999724</v>
      </c>
      <c r="F18" s="161">
        <v>-1.8156656000005569</v>
      </c>
      <c r="G18" s="168">
        <v>2.4287220000001071</v>
      </c>
      <c r="H18" s="161">
        <v>-0.29304760000007946</v>
      </c>
      <c r="I18" s="168">
        <v>-0.92887999999970816</v>
      </c>
      <c r="J18" s="161">
        <v>-0.71469199999887678</v>
      </c>
      <c r="K18" s="168">
        <v>18.816310999999018</v>
      </c>
      <c r="L18" s="161">
        <v>-0.26780300000013568</v>
      </c>
      <c r="M18" s="168">
        <v>-0.26780300000029911</v>
      </c>
      <c r="N18" s="161">
        <v>-2</v>
      </c>
      <c r="O18" s="105">
        <f>+'éves P&amp;L_mérleg'!J82</f>
        <v>2.9140000000000001</v>
      </c>
      <c r="P18" s="161">
        <v>2</v>
      </c>
      <c r="Q18" s="168">
        <v>2</v>
      </c>
      <c r="R18" s="161">
        <v>6.1619999999999999</v>
      </c>
      <c r="U18" s="134">
        <f t="shared" si="0"/>
        <v>-1.4309533822917975</v>
      </c>
      <c r="V18" s="105">
        <f t="shared" si="1"/>
        <v>-4.7617753506106526</v>
      </c>
      <c r="W18" s="111">
        <f t="shared" si="2"/>
        <v>-5.8869904675460631</v>
      </c>
      <c r="X18" s="184">
        <f t="shared" si="3"/>
        <v>7.8546036674108457</v>
      </c>
      <c r="Y18" s="111">
        <f t="shared" si="4"/>
        <v>-0.94218435520714872</v>
      </c>
      <c r="Z18" s="184">
        <f t="shared" si="5"/>
        <v>-2.9574630667336606</v>
      </c>
      <c r="AA18" s="111">
        <f t="shared" si="6"/>
        <v>-2.2507148705639506</v>
      </c>
      <c r="AB18" s="184">
        <f t="shared" si="7"/>
        <v>59.009348637372653</v>
      </c>
      <c r="AC18" s="111">
        <f t="shared" si="15"/>
        <v>-0.84196246109389661</v>
      </c>
      <c r="AD18" s="184">
        <f t="shared" si="15"/>
        <v>-0.83539632529650032</v>
      </c>
      <c r="AE18" s="111">
        <f t="shared" si="15"/>
        <v>-6.1888847629657127</v>
      </c>
      <c r="AF18" s="184">
        <f t="shared" si="15"/>
        <v>8.9565083755955133</v>
      </c>
      <c r="AG18" s="184">
        <f t="shared" si="12"/>
        <v>5.8988349800914319</v>
      </c>
      <c r="AH18" s="184">
        <f t="shared" si="13"/>
        <v>5.7945820657685063</v>
      </c>
      <c r="AI18" s="184">
        <f t="shared" si="14"/>
        <v>17.705370226704595</v>
      </c>
    </row>
    <row r="19" spans="1:35" ht="15" outlineLevel="1" thickBot="1" x14ac:dyDescent="0.35">
      <c r="B19" s="94" t="s">
        <v>161</v>
      </c>
      <c r="C19" s="94" t="s">
        <v>162</v>
      </c>
      <c r="D19" s="161">
        <v>-360.79593499999999</v>
      </c>
      <c r="E19" s="168">
        <v>-591.428675</v>
      </c>
      <c r="F19" s="161">
        <v>-428.63687599999997</v>
      </c>
      <c r="G19" s="168">
        <v>-479.54411900000002</v>
      </c>
      <c r="H19" s="161">
        <v>-86.041819000000004</v>
      </c>
      <c r="I19" s="168">
        <v>322.11162000000002</v>
      </c>
      <c r="J19" s="161">
        <v>322.11162000000002</v>
      </c>
      <c r="K19" s="168">
        <v>-259.631775</v>
      </c>
      <c r="L19" s="161">
        <v>-1061.3122229999999</v>
      </c>
      <c r="M19" s="168">
        <v>-1061.3122229999999</v>
      </c>
      <c r="N19" s="161">
        <v>-1043</v>
      </c>
      <c r="O19" s="104">
        <f>+'éves P&amp;L_mérleg'!J83</f>
        <v>-1415.65</v>
      </c>
      <c r="P19" s="161">
        <v>160</v>
      </c>
      <c r="Q19" s="168">
        <v>772.60900000000004</v>
      </c>
      <c r="R19" s="161">
        <v>1766.3579999999999</v>
      </c>
      <c r="U19" s="133">
        <f t="shared" si="0"/>
        <v>-1167.208873863673</v>
      </c>
      <c r="V19" s="104">
        <f t="shared" si="1"/>
        <v>-1911.1635591029537</v>
      </c>
      <c r="W19" s="109">
        <f t="shared" si="2"/>
        <v>-1389.7830101809218</v>
      </c>
      <c r="X19" s="182">
        <f t="shared" si="3"/>
        <v>-1550.8687267552798</v>
      </c>
      <c r="Y19" s="109">
        <f t="shared" si="4"/>
        <v>-276.63511236858187</v>
      </c>
      <c r="Z19" s="182">
        <f t="shared" si="5"/>
        <v>1025.571892511462</v>
      </c>
      <c r="AA19" s="109">
        <f t="shared" si="6"/>
        <v>1014.3969893556717</v>
      </c>
      <c r="AB19" s="182">
        <f t="shared" si="7"/>
        <v>-814.22452723680499</v>
      </c>
      <c r="AC19" s="109">
        <f t="shared" si="15"/>
        <v>-3336.7253214701163</v>
      </c>
      <c r="AD19" s="182">
        <f t="shared" si="15"/>
        <v>-3310.7035062544837</v>
      </c>
      <c r="AE19" s="109">
        <f t="shared" si="15"/>
        <v>-3227.5034038866193</v>
      </c>
      <c r="AF19" s="182">
        <f t="shared" si="15"/>
        <v>-4351.1602889196256</v>
      </c>
      <c r="AG19" s="182">
        <f t="shared" si="12"/>
        <v>471.90679840731451</v>
      </c>
      <c r="AH19" s="182">
        <f t="shared" si="13"/>
        <v>2238.4731276256703</v>
      </c>
      <c r="AI19" s="182">
        <f t="shared" si="14"/>
        <v>5075.303853116111</v>
      </c>
    </row>
    <row r="20" spans="1:35" ht="30" outlineLevel="1" thickTop="1" thickBot="1" x14ac:dyDescent="0.35">
      <c r="B20" s="89" t="s">
        <v>133</v>
      </c>
      <c r="C20" s="89" t="s">
        <v>163</v>
      </c>
      <c r="D20" s="177">
        <v>-422.84525600000018</v>
      </c>
      <c r="E20" s="171">
        <v>-4.5754109999999173</v>
      </c>
      <c r="F20" s="177">
        <v>93.983497999999543</v>
      </c>
      <c r="G20" s="171">
        <v>435.41057000000012</v>
      </c>
      <c r="H20" s="177">
        <v>46.631303999999915</v>
      </c>
      <c r="I20" s="171">
        <v>672.99906500000031</v>
      </c>
      <c r="J20" s="177">
        <v>625.11162000000002</v>
      </c>
      <c r="K20" s="171">
        <v>270.44655599999902</v>
      </c>
      <c r="L20" s="177">
        <v>-1084.9234920000001</v>
      </c>
      <c r="M20" s="171">
        <v>-578.00315400000022</v>
      </c>
      <c r="N20" s="177">
        <v>-680</v>
      </c>
      <c r="O20" s="85">
        <f>+'éves P&amp;L_mérleg'!J84</f>
        <v>-1142.0194539999995</v>
      </c>
      <c r="P20" s="177">
        <f>+P16+P19</f>
        <v>550</v>
      </c>
      <c r="Q20" s="171">
        <f>+Q16+Q19</f>
        <v>1836.5170000000003</v>
      </c>
      <c r="R20" s="177">
        <f>+R16+R19</f>
        <v>2948.3889999999983</v>
      </c>
      <c r="U20" s="112">
        <f t="shared" si="0"/>
        <v>-1367.9442787357257</v>
      </c>
      <c r="V20" s="85">
        <f t="shared" si="1"/>
        <v>-14.785145091449357</v>
      </c>
      <c r="W20" s="112">
        <f t="shared" si="2"/>
        <v>304.72569223785592</v>
      </c>
      <c r="X20" s="185">
        <f t="shared" si="3"/>
        <v>1408.1387083212062</v>
      </c>
      <c r="Y20" s="112">
        <f t="shared" si="4"/>
        <v>149.92542198501727</v>
      </c>
      <c r="Z20" s="185">
        <f t="shared" si="5"/>
        <v>2142.7631972745808</v>
      </c>
      <c r="AA20" s="112">
        <f t="shared" si="6"/>
        <v>1968.6074825218868</v>
      </c>
      <c r="AB20" s="185">
        <f t="shared" si="7"/>
        <v>848.14048358264813</v>
      </c>
      <c r="AC20" s="112">
        <f t="shared" si="15"/>
        <v>-3410.9582544722862</v>
      </c>
      <c r="AD20" s="185">
        <f t="shared" si="15"/>
        <v>-1803.0481766852802</v>
      </c>
      <c r="AE20" s="112">
        <f t="shared" si="15"/>
        <v>-2104.2208194083423</v>
      </c>
      <c r="AF20" s="185">
        <f t="shared" si="15"/>
        <v>-3510.1258767481158</v>
      </c>
      <c r="AG20" s="185">
        <f t="shared" si="12"/>
        <v>1622.1796195251436</v>
      </c>
      <c r="AH20" s="185">
        <f t="shared" si="13"/>
        <v>5320.9242358394904</v>
      </c>
      <c r="AI20" s="185">
        <f t="shared" si="14"/>
        <v>8471.6518690917401</v>
      </c>
    </row>
    <row r="21" spans="1:35" ht="15" outlineLevel="1" thickTop="1" x14ac:dyDescent="0.3">
      <c r="B21" s="94" t="s">
        <v>126</v>
      </c>
      <c r="C21" s="94" t="s">
        <v>158</v>
      </c>
      <c r="D21" s="175">
        <v>-422.40293400000002</v>
      </c>
      <c r="E21" s="166">
        <v>-3.1018319999999999</v>
      </c>
      <c r="F21" s="175">
        <v>95.7991636</v>
      </c>
      <c r="G21" s="166">
        <v>432.98184800000001</v>
      </c>
      <c r="H21" s="175">
        <v>46.924351600000001</v>
      </c>
      <c r="I21" s="166">
        <v>673.92794500000002</v>
      </c>
      <c r="J21" s="175">
        <v>625.51848700000005</v>
      </c>
      <c r="K21" s="166">
        <v>251.58546200000001</v>
      </c>
      <c r="L21" s="175">
        <v>-1084.6556889999999</v>
      </c>
      <c r="M21" s="166">
        <v>-577.73535100000004</v>
      </c>
      <c r="N21" s="175">
        <v>-678</v>
      </c>
      <c r="O21" s="104">
        <f>+'éves P&amp;L_mérleg'!J85</f>
        <v>251.58600000000001</v>
      </c>
      <c r="P21" s="175">
        <v>549</v>
      </c>
      <c r="Q21" s="166">
        <v>1835</v>
      </c>
      <c r="R21" s="175">
        <v>2948</v>
      </c>
      <c r="U21" s="133">
        <f t="shared" si="0"/>
        <v>-1366.5133253534341</v>
      </c>
      <c r="V21" s="104">
        <f t="shared" si="1"/>
        <v>-10.023369740838881</v>
      </c>
      <c r="W21" s="109">
        <f t="shared" si="2"/>
        <v>310.61268270540171</v>
      </c>
      <c r="X21" s="182">
        <f t="shared" si="3"/>
        <v>1400.2841046537953</v>
      </c>
      <c r="Y21" s="109">
        <f t="shared" si="4"/>
        <v>150.86760634022446</v>
      </c>
      <c r="Z21" s="182">
        <f t="shared" si="5"/>
        <v>2145.7206603413142</v>
      </c>
      <c r="AA21" s="109">
        <f t="shared" si="6"/>
        <v>1969.8887919632173</v>
      </c>
      <c r="AB21" s="182">
        <f t="shared" si="7"/>
        <v>788.99069213158964</v>
      </c>
      <c r="AC21" s="109">
        <f t="shared" si="15"/>
        <v>-3410.1162920111924</v>
      </c>
      <c r="AD21" s="182">
        <f t="shared" si="15"/>
        <v>-1802.212780359984</v>
      </c>
      <c r="AE21" s="109">
        <f t="shared" si="15"/>
        <v>-2098.0319346453771</v>
      </c>
      <c r="AF21" s="182">
        <f t="shared" si="15"/>
        <v>773.27800829875514</v>
      </c>
      <c r="AG21" s="182">
        <f t="shared" si="12"/>
        <v>1619.230202035098</v>
      </c>
      <c r="AH21" s="182">
        <f t="shared" si="13"/>
        <v>5316.5290453426051</v>
      </c>
      <c r="AI21" s="182">
        <f t="shared" si="14"/>
        <v>8470.5341493549422</v>
      </c>
    </row>
    <row r="22" spans="1:35" ht="29.4" outlineLevel="1" thickBot="1" x14ac:dyDescent="0.35">
      <c r="B22" s="94" t="s">
        <v>159</v>
      </c>
      <c r="C22" s="96" t="s">
        <v>160</v>
      </c>
      <c r="D22" s="176">
        <v>-0.44232200000016064</v>
      </c>
      <c r="E22" s="167">
        <v>-1.4735789999999174</v>
      </c>
      <c r="F22" s="176">
        <v>-1.8156656000004574</v>
      </c>
      <c r="G22" s="167">
        <v>2.4287220000001071</v>
      </c>
      <c r="H22" s="176">
        <v>-0.29304760000008656</v>
      </c>
      <c r="I22" s="167">
        <v>-0.92887999999970816</v>
      </c>
      <c r="J22" s="176">
        <v>-0.71469199999887678</v>
      </c>
      <c r="K22" s="167">
        <v>18.861093999999014</v>
      </c>
      <c r="L22" s="176">
        <v>-0.26780300000018542</v>
      </c>
      <c r="M22" s="167">
        <v>-0.26780300000018542</v>
      </c>
      <c r="N22" s="176">
        <v>-2</v>
      </c>
      <c r="O22" s="276">
        <f>+'éves P&amp;L_mérleg'!J86</f>
        <v>18.861000000000001</v>
      </c>
      <c r="P22" s="176">
        <v>2</v>
      </c>
      <c r="Q22" s="167">
        <v>2</v>
      </c>
      <c r="R22" s="176">
        <v>0</v>
      </c>
      <c r="U22" s="133">
        <f t="shared" si="0"/>
        <v>-1.4309533822916136</v>
      </c>
      <c r="V22" s="104">
        <f t="shared" si="1"/>
        <v>-4.761775350610475</v>
      </c>
      <c r="W22" s="109">
        <f t="shared" si="2"/>
        <v>-5.8869904675457407</v>
      </c>
      <c r="X22" s="182">
        <f t="shared" si="3"/>
        <v>7.8546036674108457</v>
      </c>
      <c r="Y22" s="109">
        <f t="shared" si="4"/>
        <v>-0.94218435520717159</v>
      </c>
      <c r="Z22" s="182">
        <f t="shared" si="5"/>
        <v>-2.9574630667336606</v>
      </c>
      <c r="AA22" s="109">
        <f t="shared" si="6"/>
        <v>-2.2507148705639506</v>
      </c>
      <c r="AB22" s="182">
        <f t="shared" si="7"/>
        <v>59.149791451058469</v>
      </c>
      <c r="AC22" s="109">
        <f t="shared" si="15"/>
        <v>-0.84196246109405293</v>
      </c>
      <c r="AD22" s="182">
        <f t="shared" si="15"/>
        <v>-0.83539632529614571</v>
      </c>
      <c r="AE22" s="109">
        <f t="shared" si="15"/>
        <v>-6.1888847629657127</v>
      </c>
      <c r="AF22" s="182">
        <f t="shared" si="15"/>
        <v>57.971415398801291</v>
      </c>
      <c r="AG22" s="182">
        <f t="shared" si="12"/>
        <v>5.8988349800914319</v>
      </c>
      <c r="AH22" s="182">
        <f t="shared" si="13"/>
        <v>5.7945820657685063</v>
      </c>
      <c r="AI22" s="182">
        <f t="shared" si="14"/>
        <v>0</v>
      </c>
    </row>
    <row r="23" spans="1:35" ht="15.6" outlineLevel="1" thickTop="1" thickBot="1" x14ac:dyDescent="0.35">
      <c r="B23" s="89" t="s">
        <v>140</v>
      </c>
      <c r="C23" s="89" t="s">
        <v>140</v>
      </c>
      <c r="D23" s="177">
        <v>469.15931099999978</v>
      </c>
      <c r="E23" s="171">
        <v>1263.3707420000001</v>
      </c>
      <c r="F23" s="177">
        <v>1399.6039349999996</v>
      </c>
      <c r="G23" s="171">
        <v>1934.9535209999999</v>
      </c>
      <c r="H23" s="177">
        <v>405.07730499999991</v>
      </c>
      <c r="I23" s="171">
        <v>936.13325000000032</v>
      </c>
      <c r="J23" s="177">
        <v>1166.353936</v>
      </c>
      <c r="K23" s="171">
        <v>1800.566902999999</v>
      </c>
      <c r="L23" s="177">
        <v>453.83241499999986</v>
      </c>
      <c r="M23" s="171">
        <v>2122.8434949999996</v>
      </c>
      <c r="N23" s="177">
        <v>2799</v>
      </c>
      <c r="O23" s="85">
        <f>+'éves P&amp;L_mérleg'!J87</f>
        <v>3779.18</v>
      </c>
      <c r="P23" s="177">
        <f>+P11-P10-P8</f>
        <v>1160</v>
      </c>
      <c r="Q23" s="171">
        <f>+Q11-Q10-Q8</f>
        <v>3137.3770000000004</v>
      </c>
      <c r="R23" s="177">
        <v>4428.2060000000001</v>
      </c>
      <c r="U23" s="112">
        <f t="shared" si="0"/>
        <v>1517.7746142150036</v>
      </c>
      <c r="V23" s="85">
        <f t="shared" si="1"/>
        <v>4082.500943579138</v>
      </c>
      <c r="W23" s="112">
        <f t="shared" si="2"/>
        <v>4537.9804649503913</v>
      </c>
      <c r="X23" s="185">
        <f t="shared" si="3"/>
        <v>6257.7326768215771</v>
      </c>
      <c r="Y23" s="112">
        <f t="shared" si="4"/>
        <v>1302.373742082757</v>
      </c>
      <c r="Z23" s="185">
        <f t="shared" si="5"/>
        <v>2980.5567052980141</v>
      </c>
      <c r="AA23" s="112">
        <f t="shared" si="6"/>
        <v>3673.0929520690302</v>
      </c>
      <c r="AB23" s="185">
        <f t="shared" si="7"/>
        <v>5646.711521936837</v>
      </c>
      <c r="AC23" s="112">
        <f t="shared" si="15"/>
        <v>1426.8318766309299</v>
      </c>
      <c r="AD23" s="185">
        <f t="shared" si="15"/>
        <v>6622.090323486289</v>
      </c>
      <c r="AE23" s="112">
        <f t="shared" si="15"/>
        <v>8661.3442257705155</v>
      </c>
      <c r="AF23" s="185">
        <f t="shared" si="15"/>
        <v>11615.73689872445</v>
      </c>
      <c r="AG23" s="185">
        <f t="shared" si="12"/>
        <v>3421.3242884530305</v>
      </c>
      <c r="AH23" s="185">
        <f t="shared" si="13"/>
        <v>9089.8942488773027</v>
      </c>
      <c r="AI23" s="185">
        <f t="shared" si="14"/>
        <v>12723.633020141942</v>
      </c>
    </row>
    <row r="24" spans="1:35" ht="15" outlineLevel="1" thickTop="1" x14ac:dyDescent="0.3">
      <c r="B24" s="147"/>
      <c r="C24" s="147"/>
      <c r="D24" s="148"/>
      <c r="E24" s="152"/>
      <c r="F24" s="148"/>
      <c r="G24" s="152"/>
      <c r="H24" s="148"/>
      <c r="I24" s="152"/>
      <c r="J24" s="148"/>
      <c r="K24" s="152"/>
      <c r="L24" s="148"/>
      <c r="M24" s="152"/>
      <c r="N24" s="148"/>
      <c r="O24" s="149"/>
      <c r="P24" s="148"/>
      <c r="Q24" s="152"/>
      <c r="R24" s="148"/>
      <c r="U24" s="148"/>
      <c r="V24" s="149"/>
      <c r="W24" s="148"/>
      <c r="X24" s="149"/>
      <c r="Y24" s="148"/>
      <c r="Z24" s="149"/>
      <c r="AA24" s="148"/>
      <c r="AB24" s="149"/>
      <c r="AC24" s="148"/>
      <c r="AD24" s="149"/>
      <c r="AE24" s="148"/>
      <c r="AF24" s="149"/>
      <c r="AG24" s="149"/>
      <c r="AH24" s="149"/>
      <c r="AI24" s="149"/>
    </row>
    <row r="25" spans="1:35" outlineLevel="1" x14ac:dyDescent="0.3">
      <c r="B25" s="25" t="s">
        <v>314</v>
      </c>
      <c r="D25" s="178">
        <v>15631176</v>
      </c>
      <c r="E25" s="172">
        <v>15631176</v>
      </c>
      <c r="F25" s="178">
        <v>15631176</v>
      </c>
      <c r="G25" s="172">
        <v>15631176</v>
      </c>
      <c r="H25" s="178">
        <v>15631176</v>
      </c>
      <c r="I25" s="172">
        <v>15631176</v>
      </c>
      <c r="J25" s="178">
        <v>15628179</v>
      </c>
      <c r="K25" s="172">
        <v>15624379</v>
      </c>
      <c r="L25" s="178">
        <v>15790216.444444444</v>
      </c>
      <c r="M25" s="172">
        <v>17207622.668508288</v>
      </c>
      <c r="N25" s="178">
        <v>17813603</v>
      </c>
      <c r="O25" s="277">
        <v>18027438.233516484</v>
      </c>
      <c r="P25" s="178">
        <v>18027438.233516484</v>
      </c>
      <c r="Q25" s="172">
        <v>18637416.729281768</v>
      </c>
      <c r="R25" s="178">
        <v>18637728</v>
      </c>
      <c r="U25" s="152"/>
      <c r="V25" s="149"/>
      <c r="W25" s="152"/>
      <c r="X25" s="152"/>
      <c r="Y25" s="152"/>
      <c r="Z25" s="152"/>
      <c r="AA25" s="152"/>
      <c r="AB25" s="152"/>
      <c r="AC25" s="152"/>
      <c r="AD25" s="152"/>
      <c r="AE25" s="152"/>
      <c r="AF25" s="149"/>
      <c r="AG25" s="149"/>
      <c r="AH25" s="149"/>
      <c r="AI25" s="149"/>
    </row>
    <row r="26" spans="1:35" outlineLevel="1" x14ac:dyDescent="0.3">
      <c r="B26" s="25" t="s">
        <v>315</v>
      </c>
      <c r="D26" s="178">
        <v>16401200</v>
      </c>
      <c r="E26" s="172">
        <v>16401200</v>
      </c>
      <c r="F26" s="178">
        <v>16401200</v>
      </c>
      <c r="G26" s="172">
        <v>16401200</v>
      </c>
      <c r="H26" s="178">
        <v>16401200</v>
      </c>
      <c r="I26" s="172">
        <v>16401200</v>
      </c>
      <c r="J26" s="178">
        <v>16401200</v>
      </c>
      <c r="K26" s="172">
        <v>16401200</v>
      </c>
      <c r="L26" s="178">
        <v>16567037.444444444</v>
      </c>
      <c r="M26" s="172">
        <v>17984443.668508288</v>
      </c>
      <c r="N26" s="178">
        <v>18569192</v>
      </c>
      <c r="O26" s="277">
        <v>18781080.915068492</v>
      </c>
      <c r="P26" s="178">
        <v>18781080.915068492</v>
      </c>
      <c r="Q26" s="172">
        <v>19386274</v>
      </c>
      <c r="R26" s="178">
        <v>19386274</v>
      </c>
      <c r="U26" s="152"/>
      <c r="V26" s="149"/>
      <c r="W26" s="152"/>
      <c r="X26" s="152"/>
      <c r="Y26" s="152"/>
      <c r="Z26" s="152"/>
      <c r="AA26" s="152"/>
      <c r="AB26" s="152"/>
      <c r="AC26" s="152"/>
      <c r="AD26" s="152"/>
      <c r="AE26" s="152"/>
      <c r="AF26" s="149"/>
      <c r="AG26" s="149"/>
      <c r="AH26" s="149"/>
      <c r="AI26" s="149"/>
    </row>
    <row r="27" spans="1:35" outlineLevel="1" x14ac:dyDescent="0.3">
      <c r="B27" s="36"/>
      <c r="D27" s="179"/>
      <c r="E27" s="173"/>
      <c r="F27" s="179"/>
      <c r="G27" s="173"/>
      <c r="H27" s="179"/>
      <c r="I27" s="173"/>
      <c r="J27" s="179"/>
      <c r="K27" s="173"/>
      <c r="L27" s="179"/>
      <c r="M27" s="173"/>
      <c r="N27" s="148"/>
      <c r="O27" s="149"/>
      <c r="P27" s="179"/>
      <c r="Q27" s="173"/>
      <c r="R27" s="148"/>
      <c r="U27" s="152"/>
      <c r="V27" s="149"/>
      <c r="W27" s="152"/>
      <c r="X27" s="152"/>
      <c r="Y27" s="152"/>
      <c r="Z27" s="152"/>
      <c r="AA27" s="152"/>
      <c r="AB27" s="152"/>
      <c r="AC27" s="152"/>
      <c r="AD27" s="152"/>
      <c r="AE27" s="152"/>
      <c r="AF27" s="149"/>
      <c r="AG27" s="149"/>
      <c r="AH27" s="149"/>
      <c r="AI27" s="149"/>
    </row>
    <row r="28" spans="1:35" outlineLevel="1" x14ac:dyDescent="0.3">
      <c r="B28" s="37" t="s">
        <v>164</v>
      </c>
      <c r="D28" s="189">
        <v>-3.9412900859154809</v>
      </c>
      <c r="E28" s="189">
        <v>37.638040989366381</v>
      </c>
      <c r="F28" s="189">
        <v>33.55064517218667</v>
      </c>
      <c r="G28" s="189">
        <v>58.378586934214034</v>
      </c>
      <c r="H28" s="189">
        <v>8.5064726160079065</v>
      </c>
      <c r="I28" s="189">
        <v>22.507348455420118</v>
      </c>
      <c r="J28" s="189">
        <v>19.452042365268532</v>
      </c>
      <c r="K28" s="189">
        <v>32.722069785941578</v>
      </c>
      <c r="L28" s="189">
        <v>-1.478349969560617</v>
      </c>
      <c r="M28" s="189">
        <v>28.102480006433151</v>
      </c>
      <c r="N28" s="189">
        <v>20.61</v>
      </c>
      <c r="O28" s="189">
        <v>15.016917128950903</v>
      </c>
      <c r="P28" s="189">
        <v>20.85</v>
      </c>
      <c r="Q28" s="189">
        <v>57</v>
      </c>
      <c r="R28" s="189">
        <v>63.09</v>
      </c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49"/>
      <c r="AG28" s="149"/>
      <c r="AH28" s="149"/>
      <c r="AI28" s="149"/>
    </row>
    <row r="29" spans="1:35" outlineLevel="1" x14ac:dyDescent="0.3">
      <c r="B29" s="37" t="s">
        <v>165</v>
      </c>
      <c r="D29" s="189">
        <v>-3.7562494817452383</v>
      </c>
      <c r="E29" s="189">
        <v>35.870963283174405</v>
      </c>
      <c r="F29" s="189">
        <v>31.975467624320178</v>
      </c>
      <c r="G29" s="189">
        <v>55.6377562007658</v>
      </c>
      <c r="H29" s="189">
        <v>8.10710012681999</v>
      </c>
      <c r="I29" s="189">
        <v>21.450645379606371</v>
      </c>
      <c r="J29" s="189">
        <v>18.535229129575885</v>
      </c>
      <c r="K29" s="189">
        <v>31.17223251957174</v>
      </c>
      <c r="L29" s="189">
        <v>-1.4090307985528185</v>
      </c>
      <c r="M29" s="189">
        <v>26.888620015906785</v>
      </c>
      <c r="N29" s="189">
        <v>19.75</v>
      </c>
      <c r="O29" s="189">
        <v>14.414321903208245</v>
      </c>
      <c r="P29" s="189">
        <v>20.05</v>
      </c>
      <c r="Q29" s="189">
        <v>54.8</v>
      </c>
      <c r="R29" s="189">
        <v>60.65</v>
      </c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49"/>
      <c r="AG29" s="149"/>
      <c r="AH29" s="149"/>
      <c r="AI29" s="149"/>
    </row>
    <row r="30" spans="1:35" outlineLevel="1" x14ac:dyDescent="0.3">
      <c r="B30" s="147"/>
      <c r="C30" s="147"/>
      <c r="D30" s="148"/>
      <c r="E30" s="152"/>
      <c r="F30" s="148"/>
      <c r="G30" s="152"/>
      <c r="H30" s="148"/>
      <c r="I30" s="152"/>
      <c r="J30" s="148"/>
      <c r="K30" s="152"/>
      <c r="L30" s="148"/>
      <c r="M30" s="152"/>
      <c r="N30" s="148"/>
      <c r="O30" s="149"/>
      <c r="P30" s="148"/>
      <c r="Q30" s="152"/>
      <c r="R30" s="148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49"/>
      <c r="AG30" s="149"/>
      <c r="AH30" s="149"/>
      <c r="AI30" s="149"/>
    </row>
    <row r="31" spans="1:35" x14ac:dyDescent="0.3">
      <c r="D31" s="122"/>
      <c r="E31" s="106"/>
      <c r="F31" s="122"/>
      <c r="G31" s="122"/>
      <c r="H31" s="122"/>
      <c r="I31" s="122"/>
      <c r="J31" s="122"/>
      <c r="K31" s="122"/>
      <c r="L31" s="122"/>
      <c r="M31" s="122"/>
      <c r="N31" s="122"/>
      <c r="O31" s="106"/>
      <c r="P31" s="122"/>
      <c r="Q31" s="122"/>
      <c r="R31" s="122"/>
      <c r="T31" s="188" t="s">
        <v>321</v>
      </c>
      <c r="U31" s="186">
        <v>308.7</v>
      </c>
      <c r="V31" s="186">
        <v>308.87</v>
      </c>
      <c r="W31" s="186">
        <v>311.23</v>
      </c>
      <c r="X31" s="186">
        <f>'éves P&amp;L_mérleg'!P3</f>
        <v>310.14</v>
      </c>
      <c r="Y31" s="187">
        <v>312.55</v>
      </c>
      <c r="Z31" s="186">
        <v>328.6</v>
      </c>
      <c r="AA31" s="187">
        <v>323.77999999999997</v>
      </c>
      <c r="AB31" s="186">
        <f>'éves P&amp;L_mérleg'!Q3</f>
        <v>321.51</v>
      </c>
      <c r="AC31" s="187">
        <v>320.79000000000002</v>
      </c>
      <c r="AD31" s="186">
        <v>323.54000000000002</v>
      </c>
      <c r="AE31" s="187">
        <v>334.65</v>
      </c>
      <c r="AF31" s="106">
        <v>330.52</v>
      </c>
      <c r="AG31" s="106">
        <v>359.09</v>
      </c>
      <c r="AH31" s="106">
        <v>356.57</v>
      </c>
      <c r="AI31" s="106">
        <v>364.65</v>
      </c>
    </row>
    <row r="32" spans="1:35" x14ac:dyDescent="0.3">
      <c r="A32" s="1" t="s">
        <v>0</v>
      </c>
      <c r="B32" s="153"/>
      <c r="C32" s="153" t="s">
        <v>1</v>
      </c>
      <c r="D32" s="137">
        <v>42825</v>
      </c>
      <c r="E32" s="137">
        <v>42916</v>
      </c>
      <c r="F32" s="137">
        <v>43008</v>
      </c>
      <c r="G32" s="137">
        <v>43100</v>
      </c>
      <c r="H32" s="137">
        <v>43190</v>
      </c>
      <c r="I32" s="137">
        <v>43281</v>
      </c>
      <c r="J32" s="137">
        <v>43373</v>
      </c>
      <c r="K32" s="137">
        <v>43465</v>
      </c>
      <c r="L32" s="137">
        <v>43555</v>
      </c>
      <c r="M32" s="137">
        <v>43646</v>
      </c>
      <c r="N32" s="137">
        <v>43738</v>
      </c>
      <c r="O32" s="137">
        <v>43830</v>
      </c>
      <c r="P32" s="137">
        <v>43921</v>
      </c>
      <c r="Q32" s="137">
        <v>44012</v>
      </c>
      <c r="R32" s="137">
        <v>44104</v>
      </c>
      <c r="S32" s="138"/>
      <c r="T32" s="138"/>
      <c r="U32" s="137">
        <v>42825</v>
      </c>
      <c r="V32" s="137">
        <v>42916</v>
      </c>
      <c r="W32" s="137">
        <v>43008</v>
      </c>
      <c r="X32" s="137">
        <v>43100</v>
      </c>
      <c r="Y32" s="137">
        <v>43190</v>
      </c>
      <c r="Z32" s="137">
        <v>43281</v>
      </c>
      <c r="AA32" s="137">
        <v>43373</v>
      </c>
      <c r="AB32" s="137">
        <v>43465</v>
      </c>
      <c r="AC32" s="137">
        <v>43555</v>
      </c>
      <c r="AD32" s="137">
        <v>43646</v>
      </c>
      <c r="AE32" s="137">
        <v>43738</v>
      </c>
      <c r="AF32" s="137">
        <v>43830</v>
      </c>
      <c r="AG32" s="137" t="str">
        <f>+AG3</f>
        <v>2020 Q1</v>
      </c>
      <c r="AH32" s="137" t="str">
        <f t="shared" ref="AH32:AI32" si="16">+AH3</f>
        <v>2020 Q2</v>
      </c>
      <c r="AI32" s="137" t="str">
        <f t="shared" si="16"/>
        <v>2020 Q3</v>
      </c>
    </row>
    <row r="33" spans="2:35" ht="15" customHeight="1" thickBot="1" x14ac:dyDescent="0.35">
      <c r="B33" s="153" t="s">
        <v>93</v>
      </c>
      <c r="C33" s="154" t="s">
        <v>167</v>
      </c>
      <c r="D33" s="135" t="s">
        <v>171</v>
      </c>
      <c r="E33" s="135" t="s">
        <v>171</v>
      </c>
      <c r="F33" s="135" t="s">
        <v>171</v>
      </c>
      <c r="G33" s="135" t="s">
        <v>171</v>
      </c>
      <c r="H33" s="135" t="s">
        <v>171</v>
      </c>
      <c r="I33" s="135" t="s">
        <v>171</v>
      </c>
      <c r="J33" s="135" t="s">
        <v>171</v>
      </c>
      <c r="K33" s="135" t="s">
        <v>171</v>
      </c>
      <c r="L33" s="135" t="s">
        <v>171</v>
      </c>
      <c r="M33" s="135" t="s">
        <v>171</v>
      </c>
      <c r="N33" s="135" t="s">
        <v>171</v>
      </c>
      <c r="O33" s="135" t="s">
        <v>171</v>
      </c>
      <c r="P33" s="135" t="s">
        <v>171</v>
      </c>
      <c r="Q33" s="135" t="s">
        <v>171</v>
      </c>
      <c r="R33" s="135" t="s">
        <v>171</v>
      </c>
      <c r="U33" s="136" t="s">
        <v>317</v>
      </c>
      <c r="V33" s="101" t="str">
        <f>U33</f>
        <v>not audited</v>
      </c>
      <c r="W33" s="101" t="str">
        <f t="shared" ref="W33:AF33" si="17">V33</f>
        <v>not audited</v>
      </c>
      <c r="X33" s="101" t="str">
        <f t="shared" si="17"/>
        <v>not audited</v>
      </c>
      <c r="Y33" s="101" t="str">
        <f t="shared" si="17"/>
        <v>not audited</v>
      </c>
      <c r="Z33" s="101" t="str">
        <f t="shared" si="17"/>
        <v>not audited</v>
      </c>
      <c r="AA33" s="101" t="str">
        <f t="shared" si="17"/>
        <v>not audited</v>
      </c>
      <c r="AB33" s="101" t="str">
        <f t="shared" si="17"/>
        <v>not audited</v>
      </c>
      <c r="AC33" s="101" t="str">
        <f t="shared" si="17"/>
        <v>not audited</v>
      </c>
      <c r="AD33" s="101" t="str">
        <f t="shared" si="17"/>
        <v>not audited</v>
      </c>
      <c r="AE33" s="101" t="str">
        <f t="shared" si="17"/>
        <v>not audited</v>
      </c>
      <c r="AF33" s="101" t="str">
        <f t="shared" si="17"/>
        <v>not audited</v>
      </c>
      <c r="AG33" s="101" t="str">
        <f t="shared" ref="AG33" si="18">AF33</f>
        <v>not audited</v>
      </c>
      <c r="AH33" s="101" t="str">
        <f t="shared" ref="AH33" si="19">AG33</f>
        <v>not audited</v>
      </c>
      <c r="AI33" s="101" t="str">
        <f t="shared" ref="AI33" si="20">AH33</f>
        <v>not audited</v>
      </c>
    </row>
    <row r="34" spans="2:35" ht="15" thickBot="1" x14ac:dyDescent="0.35">
      <c r="B34" s="98" t="s">
        <v>4</v>
      </c>
      <c r="C34" s="98" t="s">
        <v>5</v>
      </c>
      <c r="D34" s="114">
        <v>6558.3052749999988</v>
      </c>
      <c r="E34" s="123">
        <v>6414.710567000001</v>
      </c>
      <c r="F34" s="114">
        <v>6281.6386899999998</v>
      </c>
      <c r="G34" s="123">
        <v>7546.1141420000013</v>
      </c>
      <c r="H34" s="114">
        <v>9264.8362820000002</v>
      </c>
      <c r="I34" s="123">
        <v>8980.4142399999982</v>
      </c>
      <c r="J34" s="114">
        <v>11905.617623000004</v>
      </c>
      <c r="K34" s="123">
        <v>13716.254757999999</v>
      </c>
      <c r="L34" s="114">
        <v>16324.202993999999</v>
      </c>
      <c r="M34" s="123">
        <v>24087.058890999997</v>
      </c>
      <c r="N34" s="114">
        <v>24058</v>
      </c>
      <c r="O34" s="123">
        <v>24465</v>
      </c>
      <c r="P34" s="114">
        <v>25538</v>
      </c>
      <c r="Q34" s="123">
        <v>25768.705000000002</v>
      </c>
      <c r="R34" s="114">
        <v>26335</v>
      </c>
      <c r="U34" s="114">
        <f t="shared" ref="U34:U37" si="21">D34/$AE$40*1000</f>
        <v>19597.505677573583</v>
      </c>
      <c r="V34" s="123">
        <f t="shared" ref="V34:V37" si="22">E34/$AE$40*1000</f>
        <v>19168.416455998809</v>
      </c>
      <c r="W34" s="114">
        <f t="shared" ref="W34:W37" si="23">F34/$AE$40*1000</f>
        <v>18770.771522486179</v>
      </c>
      <c r="X34" s="123">
        <f t="shared" ref="X34:X37" si="24">G34/$AE$40*1000</f>
        <v>22549.272798446142</v>
      </c>
      <c r="Y34" s="114">
        <f t="shared" ref="Y34:Y37" si="25">H34/$AE$40*1000</f>
        <v>27685.152493650083</v>
      </c>
      <c r="Z34" s="123">
        <f t="shared" ref="Z34:Z37" si="26">I34/$AE$40*1000</f>
        <v>26835.24350814283</v>
      </c>
      <c r="AA34" s="114">
        <f t="shared" ref="AA34:AA37" si="27">J34/$AE$40*1000</f>
        <v>35576.326379799801</v>
      </c>
      <c r="AB34" s="123">
        <f t="shared" ref="AB34:AB37" si="28">K34/$AE$40*1000</f>
        <v>40986.86615269685</v>
      </c>
      <c r="AC34" s="114">
        <f t="shared" ref="AC34:AC37" si="29">L34/$AE$40*1000</f>
        <v>48779.92826535186</v>
      </c>
      <c r="AD34" s="123">
        <f t="shared" ref="AD34:AD37" si="30">M34/$AE$40*1000</f>
        <v>71976.86804422531</v>
      </c>
      <c r="AE34" s="114">
        <f t="shared" ref="AE34:AE37" si="31">N34/$AE$40*1000</f>
        <v>71890.03436426117</v>
      </c>
      <c r="AF34" s="123">
        <f t="shared" ref="AF34:AF37" si="32">O34/$AE$40*1000</f>
        <v>73106.230389959659</v>
      </c>
      <c r="AG34" s="114">
        <f>P34/$AI$31*1000</f>
        <v>70034.279446044151</v>
      </c>
      <c r="AH34" s="123">
        <f>Q34/$AI$31*1000</f>
        <v>70666.954614013448</v>
      </c>
      <c r="AI34" s="114">
        <f>R34/$AI$31*1000</f>
        <v>72219.936925819289</v>
      </c>
    </row>
    <row r="35" spans="2:35" ht="29.4" thickBot="1" x14ac:dyDescent="0.35">
      <c r="B35" s="98" t="s">
        <v>174</v>
      </c>
      <c r="C35" s="98" t="s">
        <v>27</v>
      </c>
      <c r="D35" s="117">
        <v>9012.5330919999997</v>
      </c>
      <c r="E35" s="126">
        <v>8405.1333379999996</v>
      </c>
      <c r="F35" s="117">
        <v>8474.491947999999</v>
      </c>
      <c r="G35" s="126">
        <v>9048.883253</v>
      </c>
      <c r="H35" s="117">
        <v>7628.5977700000003</v>
      </c>
      <c r="I35" s="126">
        <v>6946.6078729999999</v>
      </c>
      <c r="J35" s="117">
        <v>7752.4946860000018</v>
      </c>
      <c r="K35" s="126">
        <v>9142.8433459999997</v>
      </c>
      <c r="L35" s="117">
        <v>9461.3970979999995</v>
      </c>
      <c r="M35" s="126">
        <v>9124.4046550000003</v>
      </c>
      <c r="N35" s="117">
        <v>9121</v>
      </c>
      <c r="O35" s="126">
        <v>13211</v>
      </c>
      <c r="P35" s="117">
        <v>14068</v>
      </c>
      <c r="Q35" s="126">
        <v>12068.826999999999</v>
      </c>
      <c r="R35" s="117">
        <v>10852</v>
      </c>
      <c r="U35" s="117">
        <f t="shared" si="21"/>
        <v>26931.220953234726</v>
      </c>
      <c r="V35" s="126">
        <f t="shared" si="22"/>
        <v>25116.191059315704</v>
      </c>
      <c r="W35" s="117">
        <f t="shared" si="23"/>
        <v>25323.448223517105</v>
      </c>
      <c r="X35" s="126">
        <f t="shared" si="24"/>
        <v>27039.842381592709</v>
      </c>
      <c r="Y35" s="117">
        <f t="shared" si="25"/>
        <v>22795.750097116394</v>
      </c>
      <c r="Z35" s="126">
        <f t="shared" si="26"/>
        <v>20757.830189750486</v>
      </c>
      <c r="AA35" s="117">
        <f t="shared" si="27"/>
        <v>23165.978443149565</v>
      </c>
      <c r="AB35" s="126">
        <f t="shared" si="28"/>
        <v>27320.613614223817</v>
      </c>
      <c r="AC35" s="117">
        <f t="shared" si="29"/>
        <v>28272.514860301806</v>
      </c>
      <c r="AD35" s="126">
        <f t="shared" si="30"/>
        <v>27265.515180038848</v>
      </c>
      <c r="AE35" s="117">
        <f t="shared" si="31"/>
        <v>27255.341401464219</v>
      </c>
      <c r="AF35" s="126">
        <f t="shared" si="32"/>
        <v>39477.065590915881</v>
      </c>
      <c r="AG35" s="117">
        <f t="shared" ref="AG35:AI37" si="33">P35/$AI$31*1000</f>
        <v>38579.459755930344</v>
      </c>
      <c r="AH35" s="126">
        <f t="shared" si="33"/>
        <v>33097.016317016321</v>
      </c>
      <c r="AI35" s="117">
        <f t="shared" si="33"/>
        <v>29760.04387769094</v>
      </c>
    </row>
    <row r="36" spans="2:35" ht="15" thickBot="1" x14ac:dyDescent="0.35">
      <c r="B36" s="97" t="s">
        <v>38</v>
      </c>
      <c r="C36" s="97" t="s">
        <v>39</v>
      </c>
      <c r="D36" s="118">
        <v>4310.0533619999997</v>
      </c>
      <c r="E36" s="127">
        <v>2644.3591240000001</v>
      </c>
      <c r="F36" s="118">
        <v>2689.4344040000001</v>
      </c>
      <c r="G36" s="127">
        <v>2825.6977069999998</v>
      </c>
      <c r="H36" s="118">
        <v>1799.4891869999999</v>
      </c>
      <c r="I36" s="127">
        <v>1343.0653239999999</v>
      </c>
      <c r="J36" s="118">
        <v>1279.6907329999999</v>
      </c>
      <c r="K36" s="127">
        <v>2561.2183420000001</v>
      </c>
      <c r="L36" s="118">
        <v>3573.626659</v>
      </c>
      <c r="M36" s="127">
        <v>2332.786779</v>
      </c>
      <c r="N36" s="118">
        <v>3564</v>
      </c>
      <c r="O36" s="127">
        <v>4897</v>
      </c>
      <c r="P36" s="118">
        <v>3619</v>
      </c>
      <c r="Q36" s="127">
        <v>3968</v>
      </c>
      <c r="R36" s="118">
        <v>2848</v>
      </c>
      <c r="U36" s="118">
        <f t="shared" si="21"/>
        <v>12879.286902734199</v>
      </c>
      <c r="V36" s="127">
        <f t="shared" si="22"/>
        <v>7901.8650052293451</v>
      </c>
      <c r="W36" s="118">
        <f t="shared" si="23"/>
        <v>8036.5588047213523</v>
      </c>
      <c r="X36" s="127">
        <f t="shared" si="24"/>
        <v>8443.7403466308078</v>
      </c>
      <c r="Y36" s="118">
        <f t="shared" si="25"/>
        <v>5377.2275123263116</v>
      </c>
      <c r="Z36" s="127">
        <f t="shared" si="26"/>
        <v>4013.3432660989092</v>
      </c>
      <c r="AA36" s="118">
        <f t="shared" si="27"/>
        <v>3823.9675272672944</v>
      </c>
      <c r="AB36" s="127">
        <f t="shared" si="28"/>
        <v>7653.4240011952797</v>
      </c>
      <c r="AC36" s="118">
        <f t="shared" si="29"/>
        <v>10678.6991154938</v>
      </c>
      <c r="AD36" s="127">
        <f t="shared" si="30"/>
        <v>6970.825575974899</v>
      </c>
      <c r="AE36" s="118">
        <f t="shared" si="31"/>
        <v>10649.932765575975</v>
      </c>
      <c r="AF36" s="127">
        <f t="shared" si="32"/>
        <v>14633.198864485283</v>
      </c>
      <c r="AG36" s="118">
        <f t="shared" si="33"/>
        <v>9924.5852187028668</v>
      </c>
      <c r="AH36" s="127">
        <f t="shared" si="33"/>
        <v>10881.667352255588</v>
      </c>
      <c r="AI36" s="118">
        <f t="shared" si="33"/>
        <v>7810.2289866995761</v>
      </c>
    </row>
    <row r="37" spans="2:35" ht="15.6" thickTop="1" thickBot="1" x14ac:dyDescent="0.35">
      <c r="B37" s="99" t="s">
        <v>42</v>
      </c>
      <c r="C37" s="99" t="s">
        <v>43</v>
      </c>
      <c r="D37" s="119">
        <f t="shared" ref="D37:O37" si="34">D35+D34</f>
        <v>15570.838366999998</v>
      </c>
      <c r="E37" s="128">
        <f t="shared" si="34"/>
        <v>14819.843905000002</v>
      </c>
      <c r="F37" s="119">
        <f t="shared" si="34"/>
        <v>14756.130637999999</v>
      </c>
      <c r="G37" s="128">
        <f t="shared" si="34"/>
        <v>16594.997395000002</v>
      </c>
      <c r="H37" s="119">
        <f t="shared" si="34"/>
        <v>16893.434052000001</v>
      </c>
      <c r="I37" s="128">
        <f t="shared" si="34"/>
        <v>15927.022112999999</v>
      </c>
      <c r="J37" s="119">
        <f t="shared" si="34"/>
        <v>19658.112309000004</v>
      </c>
      <c r="K37" s="128">
        <f t="shared" si="34"/>
        <v>22859.098103999997</v>
      </c>
      <c r="L37" s="119">
        <f t="shared" si="34"/>
        <v>25785.600092000001</v>
      </c>
      <c r="M37" s="128">
        <f t="shared" si="34"/>
        <v>33211.463545999999</v>
      </c>
      <c r="N37" s="119">
        <v>33179</v>
      </c>
      <c r="O37" s="119">
        <f t="shared" si="34"/>
        <v>37676</v>
      </c>
      <c r="P37" s="119">
        <v>39606</v>
      </c>
      <c r="Q37" s="128">
        <v>37878</v>
      </c>
      <c r="R37" s="119">
        <v>37187</v>
      </c>
      <c r="U37" s="119">
        <f t="shared" si="21"/>
        <v>46528.726630808305</v>
      </c>
      <c r="V37" s="128">
        <f t="shared" si="22"/>
        <v>44284.607515314514</v>
      </c>
      <c r="W37" s="119">
        <f t="shared" si="23"/>
        <v>44094.219746003284</v>
      </c>
      <c r="X37" s="128">
        <f t="shared" si="24"/>
        <v>49589.115180038862</v>
      </c>
      <c r="Y37" s="119">
        <f t="shared" si="25"/>
        <v>50480.902590766476</v>
      </c>
      <c r="Z37" s="128">
        <f t="shared" si="26"/>
        <v>47593.073697893327</v>
      </c>
      <c r="AA37" s="119">
        <f t="shared" si="27"/>
        <v>58742.304822949365</v>
      </c>
      <c r="AB37" s="128">
        <f t="shared" si="28"/>
        <v>68307.47976692066</v>
      </c>
      <c r="AC37" s="119">
        <f t="shared" si="29"/>
        <v>77052.443125653677</v>
      </c>
      <c r="AD37" s="128">
        <f t="shared" si="30"/>
        <v>99242.383224264166</v>
      </c>
      <c r="AE37" s="119">
        <f t="shared" si="31"/>
        <v>99145.375765725388</v>
      </c>
      <c r="AF37" s="128">
        <f t="shared" si="32"/>
        <v>112583.29598087554</v>
      </c>
      <c r="AG37" s="119">
        <f t="shared" si="33"/>
        <v>108613.7392019745</v>
      </c>
      <c r="AH37" s="128">
        <f t="shared" si="33"/>
        <v>103874.94858083094</v>
      </c>
      <c r="AI37" s="119">
        <f t="shared" si="33"/>
        <v>101979.98080351022</v>
      </c>
    </row>
    <row r="38" spans="2:35" ht="15" thickTop="1" x14ac:dyDescent="0.3">
      <c r="D38" s="113"/>
      <c r="E38" s="122"/>
      <c r="F38" s="142"/>
      <c r="G38" s="122"/>
      <c r="H38" s="142"/>
      <c r="I38" s="122"/>
      <c r="J38" s="142"/>
      <c r="K38" s="122"/>
      <c r="L38" s="142"/>
      <c r="M38" s="122"/>
      <c r="N38" s="142"/>
      <c r="O38" s="122"/>
      <c r="P38" s="142"/>
      <c r="Q38" s="142"/>
      <c r="R38" s="142"/>
      <c r="U38" s="143"/>
      <c r="V38" s="143"/>
      <c r="W38" s="143"/>
      <c r="X38" s="122"/>
      <c r="Y38" s="142"/>
      <c r="Z38" s="122"/>
      <c r="AA38" s="142"/>
      <c r="AB38" s="122"/>
      <c r="AC38" s="142"/>
      <c r="AD38" s="122"/>
      <c r="AE38" s="142"/>
      <c r="AF38" s="122"/>
      <c r="AG38" s="122"/>
      <c r="AH38" s="122"/>
      <c r="AI38" s="122"/>
    </row>
    <row r="39" spans="2:35" ht="18" outlineLevel="1" x14ac:dyDescent="0.35">
      <c r="D39" s="113"/>
      <c r="E39" s="122"/>
      <c r="F39" s="142"/>
      <c r="G39" s="122"/>
      <c r="H39" s="142"/>
      <c r="I39" s="122"/>
      <c r="J39" s="142"/>
      <c r="K39" s="122"/>
      <c r="L39" s="142"/>
      <c r="M39" s="122"/>
      <c r="N39" s="142"/>
      <c r="O39" s="122"/>
      <c r="P39" s="142"/>
      <c r="Q39" s="142"/>
      <c r="R39" s="142"/>
      <c r="U39" s="306" t="s">
        <v>291</v>
      </c>
      <c r="V39" s="306"/>
      <c r="X39" s="122"/>
      <c r="Y39" s="142"/>
      <c r="Z39" s="122"/>
      <c r="AA39" s="142"/>
      <c r="AB39" s="122"/>
      <c r="AC39" s="142"/>
      <c r="AD39" s="122"/>
      <c r="AE39" s="142"/>
      <c r="AF39" s="122"/>
      <c r="AG39" s="122"/>
      <c r="AH39" s="122"/>
      <c r="AI39" s="122"/>
    </row>
    <row r="40" spans="2:35" outlineLevel="1" x14ac:dyDescent="0.3">
      <c r="D40" s="113"/>
      <c r="E40" s="122"/>
      <c r="F40" s="142"/>
      <c r="G40" s="122"/>
      <c r="H40" s="142"/>
      <c r="I40" s="122"/>
      <c r="J40" s="142"/>
      <c r="K40" s="122"/>
      <c r="L40" s="142"/>
      <c r="M40" s="122"/>
      <c r="N40" s="142"/>
      <c r="O40" s="122"/>
      <c r="P40" s="142"/>
      <c r="Q40" s="142"/>
      <c r="R40" s="142"/>
      <c r="U40" s="106">
        <f>U31</f>
        <v>308.7</v>
      </c>
      <c r="V40" s="186">
        <f t="shared" ref="V40:AF40" si="35">V31</f>
        <v>308.87</v>
      </c>
      <c r="W40" s="186">
        <f t="shared" si="35"/>
        <v>311.23</v>
      </c>
      <c r="X40" s="186">
        <f t="shared" si="35"/>
        <v>310.14</v>
      </c>
      <c r="Y40" s="186">
        <f t="shared" si="35"/>
        <v>312.55</v>
      </c>
      <c r="Z40" s="186">
        <f t="shared" si="35"/>
        <v>328.6</v>
      </c>
      <c r="AA40" s="186">
        <f t="shared" si="35"/>
        <v>323.77999999999997</v>
      </c>
      <c r="AB40" s="186">
        <f t="shared" si="35"/>
        <v>321.51</v>
      </c>
      <c r="AC40" s="186">
        <f t="shared" si="35"/>
        <v>320.79000000000002</v>
      </c>
      <c r="AD40" s="186">
        <f t="shared" si="35"/>
        <v>323.54000000000002</v>
      </c>
      <c r="AE40" s="186">
        <f t="shared" si="35"/>
        <v>334.65</v>
      </c>
      <c r="AF40" s="186">
        <f t="shared" si="35"/>
        <v>330.52</v>
      </c>
      <c r="AG40" s="186">
        <f t="shared" ref="AG40:AI40" si="36">AG31</f>
        <v>359.09</v>
      </c>
      <c r="AH40" s="186">
        <f t="shared" si="36"/>
        <v>356.57</v>
      </c>
      <c r="AI40" s="186">
        <f t="shared" si="36"/>
        <v>364.65</v>
      </c>
    </row>
    <row r="41" spans="2:35" outlineLevel="1" x14ac:dyDescent="0.3">
      <c r="B41" s="91"/>
      <c r="C41" s="91"/>
      <c r="D41" s="137">
        <v>42825</v>
      </c>
      <c r="E41" s="137">
        <v>42916</v>
      </c>
      <c r="F41" s="137">
        <v>43008</v>
      </c>
      <c r="G41" s="137">
        <v>43100</v>
      </c>
      <c r="H41" s="137">
        <v>43190</v>
      </c>
      <c r="I41" s="137">
        <v>43281</v>
      </c>
      <c r="J41" s="137">
        <v>43373</v>
      </c>
      <c r="K41" s="137">
        <v>43465</v>
      </c>
      <c r="L41" s="137">
        <v>43555</v>
      </c>
      <c r="M41" s="137">
        <v>43646</v>
      </c>
      <c r="N41" s="137">
        <v>43738</v>
      </c>
      <c r="O41" s="137">
        <v>43830</v>
      </c>
      <c r="P41" s="137">
        <v>43921</v>
      </c>
      <c r="Q41" s="137">
        <v>44012</v>
      </c>
      <c r="R41" s="137">
        <v>44104</v>
      </c>
      <c r="S41" s="145"/>
      <c r="T41" s="145"/>
      <c r="U41" s="137">
        <f>U32</f>
        <v>42825</v>
      </c>
      <c r="V41" s="137">
        <f t="shared" ref="V41:AD41" si="37">V32</f>
        <v>42916</v>
      </c>
      <c r="W41" s="137">
        <f t="shared" si="37"/>
        <v>43008</v>
      </c>
      <c r="X41" s="137">
        <f t="shared" si="37"/>
        <v>43100</v>
      </c>
      <c r="Y41" s="137">
        <f t="shared" si="37"/>
        <v>43190</v>
      </c>
      <c r="Z41" s="137">
        <f t="shared" si="37"/>
        <v>43281</v>
      </c>
      <c r="AA41" s="137">
        <f t="shared" si="37"/>
        <v>43373</v>
      </c>
      <c r="AB41" s="137">
        <f t="shared" si="37"/>
        <v>43465</v>
      </c>
      <c r="AC41" s="137">
        <f t="shared" si="37"/>
        <v>43555</v>
      </c>
      <c r="AD41" s="137">
        <f t="shared" si="37"/>
        <v>43646</v>
      </c>
      <c r="AE41" s="137">
        <f t="shared" ref="AE41" si="38">AE32</f>
        <v>43738</v>
      </c>
      <c r="AF41" s="137">
        <v>43830</v>
      </c>
      <c r="AG41" s="137" t="str">
        <f>+AG32</f>
        <v>2020 Q1</v>
      </c>
      <c r="AH41" s="137" t="str">
        <f t="shared" ref="AH41:AI41" si="39">+AH32</f>
        <v>2020 Q2</v>
      </c>
      <c r="AI41" s="137" t="str">
        <f t="shared" si="39"/>
        <v>2020 Q3</v>
      </c>
    </row>
    <row r="42" spans="2:35" ht="15" customHeight="1" outlineLevel="1" thickBot="1" x14ac:dyDescent="0.35">
      <c r="B42" s="91"/>
      <c r="C42" s="91"/>
      <c r="D42" s="135" t="s">
        <v>171</v>
      </c>
      <c r="E42" s="135" t="s">
        <v>171</v>
      </c>
      <c r="F42" s="135" t="s">
        <v>171</v>
      </c>
      <c r="G42" s="135" t="s">
        <v>171</v>
      </c>
      <c r="H42" s="135" t="s">
        <v>171</v>
      </c>
      <c r="I42" s="135" t="s">
        <v>171</v>
      </c>
      <c r="J42" s="135" t="s">
        <v>171</v>
      </c>
      <c r="K42" s="135" t="s">
        <v>171</v>
      </c>
      <c r="L42" s="135" t="s">
        <v>171</v>
      </c>
      <c r="M42" s="135" t="s">
        <v>171</v>
      </c>
      <c r="N42" s="135" t="s">
        <v>171</v>
      </c>
      <c r="O42" s="135" t="s">
        <v>171</v>
      </c>
      <c r="P42" s="135" t="s">
        <v>171</v>
      </c>
      <c r="Q42" s="135" t="s">
        <v>171</v>
      </c>
      <c r="R42" s="135" t="s">
        <v>171</v>
      </c>
      <c r="S42" s="140"/>
      <c r="T42" s="140"/>
      <c r="U42" s="135" t="str">
        <f>U33</f>
        <v>not audited</v>
      </c>
      <c r="V42" s="135" t="str">
        <f t="shared" ref="V42:AD42" si="40">V33</f>
        <v>not audited</v>
      </c>
      <c r="W42" s="135" t="str">
        <f t="shared" si="40"/>
        <v>not audited</v>
      </c>
      <c r="X42" s="135" t="str">
        <f t="shared" si="40"/>
        <v>not audited</v>
      </c>
      <c r="Y42" s="135" t="str">
        <f t="shared" si="40"/>
        <v>not audited</v>
      </c>
      <c r="Z42" s="135" t="str">
        <f t="shared" si="40"/>
        <v>not audited</v>
      </c>
      <c r="AA42" s="135" t="str">
        <f t="shared" si="40"/>
        <v>not audited</v>
      </c>
      <c r="AB42" s="135" t="str">
        <f t="shared" si="40"/>
        <v>not audited</v>
      </c>
      <c r="AC42" s="135" t="str">
        <f t="shared" si="40"/>
        <v>not audited</v>
      </c>
      <c r="AD42" s="135" t="str">
        <f t="shared" si="40"/>
        <v>not audited</v>
      </c>
      <c r="AE42" s="135" t="str">
        <f t="shared" ref="AE42" si="41">AE33</f>
        <v>not audited</v>
      </c>
      <c r="AF42" s="101" t="str">
        <f t="shared" ref="AF42" si="42">AE42</f>
        <v>not audited</v>
      </c>
      <c r="AG42" s="101" t="str">
        <f t="shared" ref="AG42" si="43">AF42</f>
        <v>not audited</v>
      </c>
      <c r="AH42" s="101" t="str">
        <f t="shared" ref="AH42" si="44">AG42</f>
        <v>not audited</v>
      </c>
      <c r="AI42" s="101" t="str">
        <f t="shared" ref="AI42" si="45">AH42</f>
        <v>not audited</v>
      </c>
    </row>
    <row r="43" spans="2:35" ht="15" outlineLevel="1" thickBot="1" x14ac:dyDescent="0.35">
      <c r="B43" s="98" t="s">
        <v>44</v>
      </c>
      <c r="C43" s="98" t="s">
        <v>45</v>
      </c>
      <c r="D43" s="117">
        <v>4489.1524970000009</v>
      </c>
      <c r="E43" s="126">
        <v>4668.9346690000002</v>
      </c>
      <c r="F43" s="117">
        <v>4778.0686959999994</v>
      </c>
      <c r="G43" s="126">
        <v>5119.4954319999997</v>
      </c>
      <c r="H43" s="117">
        <v>5160.3390290000007</v>
      </c>
      <c r="I43" s="126">
        <v>5104.4388430000008</v>
      </c>
      <c r="J43" s="117">
        <v>5491.4350970000005</v>
      </c>
      <c r="K43" s="126">
        <v>5144.733087999999</v>
      </c>
      <c r="L43" s="117">
        <v>6396.3026549999995</v>
      </c>
      <c r="M43" s="126">
        <v>6310.1572749999987</v>
      </c>
      <c r="N43" s="117">
        <v>6189</v>
      </c>
      <c r="O43" s="126">
        <v>5770</v>
      </c>
      <c r="P43" s="117">
        <v>6301</v>
      </c>
      <c r="Q43" s="126">
        <v>7587</v>
      </c>
      <c r="R43" s="117">
        <v>8690</v>
      </c>
      <c r="S43" s="141"/>
      <c r="T43" s="141"/>
      <c r="U43" s="114">
        <f t="shared" ref="U43:AD43" si="46">D43/U$40*1000</f>
        <v>14542.120171687726</v>
      </c>
      <c r="V43" s="123">
        <f t="shared" si="46"/>
        <v>15116.180493411468</v>
      </c>
      <c r="W43" s="114">
        <f t="shared" si="46"/>
        <v>15352.211213571953</v>
      </c>
      <c r="X43" s="123">
        <f t="shared" si="46"/>
        <v>16507.04659831044</v>
      </c>
      <c r="Y43" s="114">
        <f t="shared" si="46"/>
        <v>16510.4432218845</v>
      </c>
      <c r="Z43" s="123">
        <f t="shared" si="46"/>
        <v>15533.8978788801</v>
      </c>
      <c r="AA43" s="114">
        <f t="shared" si="46"/>
        <v>16960.390070418191</v>
      </c>
      <c r="AB43" s="123">
        <f t="shared" si="46"/>
        <v>16001.782488880594</v>
      </c>
      <c r="AC43" s="114">
        <f t="shared" si="46"/>
        <v>19939.220845412885</v>
      </c>
      <c r="AD43" s="123">
        <f t="shared" si="46"/>
        <v>19503.484190517393</v>
      </c>
      <c r="AE43" s="114">
        <f t="shared" ref="AE43:AF47" si="47">N43/$AE$40*1000</f>
        <v>18493.948901837743</v>
      </c>
      <c r="AF43" s="123">
        <f t="shared" si="47"/>
        <v>17241.894516659198</v>
      </c>
      <c r="AG43" s="114">
        <f t="shared" ref="AG43:AI48" si="48">P43/$AI$31*1000</f>
        <v>17279.583161936102</v>
      </c>
      <c r="AH43" s="123">
        <f t="shared" si="48"/>
        <v>20806.252570958455</v>
      </c>
      <c r="AI43" s="114">
        <f t="shared" si="48"/>
        <v>23831.070889894421</v>
      </c>
    </row>
    <row r="44" spans="2:35" ht="15" outlineLevel="2" thickBot="1" x14ac:dyDescent="0.35">
      <c r="B44" s="205" t="s">
        <v>62</v>
      </c>
      <c r="C44" s="205" t="s">
        <v>63</v>
      </c>
      <c r="D44" s="206">
        <v>6591.7173349999994</v>
      </c>
      <c r="E44" s="207">
        <v>6230.6875429999991</v>
      </c>
      <c r="F44" s="206">
        <v>6572.5368279999984</v>
      </c>
      <c r="G44" s="207">
        <v>6254.7884560000002</v>
      </c>
      <c r="H44" s="206">
        <v>7138.188905</v>
      </c>
      <c r="I44" s="207">
        <v>6529.8529439999993</v>
      </c>
      <c r="J44" s="206">
        <v>8263.0708180000001</v>
      </c>
      <c r="K44" s="207">
        <v>9130.4673749999984</v>
      </c>
      <c r="L44" s="206">
        <v>11483.422210999999</v>
      </c>
      <c r="M44" s="207">
        <v>19876.075740000004</v>
      </c>
      <c r="N44" s="206">
        <v>17492</v>
      </c>
      <c r="O44" s="207">
        <v>21440</v>
      </c>
      <c r="P44" s="206">
        <v>22083</v>
      </c>
      <c r="Q44" s="207">
        <v>22014</v>
      </c>
      <c r="R44" s="206">
        <v>21982</v>
      </c>
      <c r="S44" s="141"/>
      <c r="T44" s="141"/>
      <c r="U44" s="117">
        <f t="shared" ref="U44:U48" si="49">D44/U$40*1000</f>
        <v>21353.149773242629</v>
      </c>
      <c r="V44" s="126">
        <f t="shared" ref="V44:AD44" si="50">E44/V$40*1000</f>
        <v>20172.524178456952</v>
      </c>
      <c r="W44" s="117">
        <f t="shared" si="50"/>
        <v>21117.941162484327</v>
      </c>
      <c r="X44" s="126">
        <f t="shared" si="50"/>
        <v>20167.628993357841</v>
      </c>
      <c r="Y44" s="117">
        <f t="shared" si="50"/>
        <v>22838.550327947527</v>
      </c>
      <c r="Z44" s="126">
        <f t="shared" si="50"/>
        <v>19871.737504564815</v>
      </c>
      <c r="AA44" s="117">
        <f t="shared" si="50"/>
        <v>25520.633819259994</v>
      </c>
      <c r="AB44" s="126">
        <f t="shared" si="50"/>
        <v>28398.704161612386</v>
      </c>
      <c r="AC44" s="117">
        <f t="shared" si="50"/>
        <v>35797.319776177559</v>
      </c>
      <c r="AD44" s="126">
        <f t="shared" si="50"/>
        <v>61433.132657476672</v>
      </c>
      <c r="AE44" s="117">
        <f t="shared" si="47"/>
        <v>52269.535335425076</v>
      </c>
      <c r="AF44" s="126">
        <f t="shared" si="47"/>
        <v>64066.93560436277</v>
      </c>
      <c r="AG44" s="117">
        <f t="shared" si="48"/>
        <v>60559.440559440562</v>
      </c>
      <c r="AH44" s="126">
        <f t="shared" si="48"/>
        <v>60370.218017276849</v>
      </c>
      <c r="AI44" s="117">
        <f t="shared" si="48"/>
        <v>60282.462635403819</v>
      </c>
    </row>
    <row r="45" spans="2:35" s="188" customFormat="1" ht="15" outlineLevel="2" thickBot="1" x14ac:dyDescent="0.35">
      <c r="B45" s="208" t="s">
        <v>335</v>
      </c>
      <c r="C45" s="209" t="s">
        <v>336</v>
      </c>
      <c r="D45" s="210"/>
      <c r="E45" s="211"/>
      <c r="F45" s="210"/>
      <c r="G45" s="211"/>
      <c r="H45" s="210"/>
      <c r="I45" s="211"/>
      <c r="J45" s="210"/>
      <c r="K45" s="211">
        <v>8165</v>
      </c>
      <c r="L45" s="210">
        <v>10386</v>
      </c>
      <c r="M45" s="211">
        <v>18308</v>
      </c>
      <c r="N45" s="210">
        <v>15926</v>
      </c>
      <c r="O45" s="211">
        <v>19413</v>
      </c>
      <c r="P45" s="210">
        <v>19883</v>
      </c>
      <c r="Q45" s="211">
        <v>19904</v>
      </c>
      <c r="R45" s="210">
        <v>19044</v>
      </c>
      <c r="S45" s="192"/>
      <c r="T45" s="192"/>
      <c r="U45" s="118"/>
      <c r="V45" s="127"/>
      <c r="W45" s="118"/>
      <c r="X45" s="127"/>
      <c r="Y45" s="118"/>
      <c r="Z45" s="127"/>
      <c r="AA45" s="118"/>
      <c r="AB45" s="127"/>
      <c r="AC45" s="118"/>
      <c r="AD45" s="127"/>
      <c r="AE45" s="118">
        <f t="shared" si="47"/>
        <v>47590.019423278056</v>
      </c>
      <c r="AF45" s="127">
        <f t="shared" si="47"/>
        <v>58009.861048857019</v>
      </c>
      <c r="AG45" s="118">
        <f t="shared" si="48"/>
        <v>54526.258055669823</v>
      </c>
      <c r="AH45" s="127">
        <f t="shared" si="48"/>
        <v>54583.847525024001</v>
      </c>
      <c r="AI45" s="118">
        <f t="shared" si="48"/>
        <v>52225.421637186344</v>
      </c>
    </row>
    <row r="46" spans="2:35" ht="15.6" outlineLevel="2" thickTop="1" thickBot="1" x14ac:dyDescent="0.35">
      <c r="B46" s="205" t="s">
        <v>77</v>
      </c>
      <c r="C46" s="205" t="s">
        <v>78</v>
      </c>
      <c r="D46" s="212">
        <v>4489.968535</v>
      </c>
      <c r="E46" s="213">
        <v>3920.2216930000004</v>
      </c>
      <c r="F46" s="212">
        <v>3405.5251139999996</v>
      </c>
      <c r="G46" s="213">
        <v>5220.7135070000004</v>
      </c>
      <c r="H46" s="212">
        <v>4594.9061179999999</v>
      </c>
      <c r="I46" s="213">
        <v>4292.730325999999</v>
      </c>
      <c r="J46" s="212">
        <v>5903.6063940000004</v>
      </c>
      <c r="K46" s="213">
        <v>8583.8976410000014</v>
      </c>
      <c r="L46" s="212">
        <v>7905.8752260000001</v>
      </c>
      <c r="M46" s="213">
        <v>7025.2305310000011</v>
      </c>
      <c r="N46" s="212">
        <v>9498</v>
      </c>
      <c r="O46" s="213">
        <v>10466</v>
      </c>
      <c r="P46" s="212">
        <v>11222</v>
      </c>
      <c r="Q46" s="213">
        <v>8237</v>
      </c>
      <c r="R46" s="212">
        <v>6515</v>
      </c>
      <c r="S46" s="141"/>
      <c r="T46" s="141"/>
      <c r="U46" s="119">
        <f t="shared" si="49"/>
        <v>14544.763637836088</v>
      </c>
      <c r="V46" s="128">
        <f t="shared" ref="V46:AD46" si="51">E46/V$40*1000</f>
        <v>12692.141331304434</v>
      </c>
      <c r="W46" s="119">
        <f t="shared" si="51"/>
        <v>10942.14925939016</v>
      </c>
      <c r="X46" s="128">
        <f t="shared" si="51"/>
        <v>16833.409128135681</v>
      </c>
      <c r="Y46" s="119">
        <f t="shared" si="51"/>
        <v>14701.347362022074</v>
      </c>
      <c r="Z46" s="128">
        <f t="shared" si="51"/>
        <v>13063.695453438828</v>
      </c>
      <c r="AA46" s="119">
        <f t="shared" si="51"/>
        <v>18233.388084501825</v>
      </c>
      <c r="AB46" s="128">
        <f t="shared" si="51"/>
        <v>26698.695657988872</v>
      </c>
      <c r="AC46" s="119">
        <f t="shared" si="51"/>
        <v>24645.017693818387</v>
      </c>
      <c r="AD46" s="128">
        <f t="shared" si="51"/>
        <v>21713.638285837918</v>
      </c>
      <c r="AE46" s="119">
        <f t="shared" si="47"/>
        <v>28381.891528462576</v>
      </c>
      <c r="AF46" s="128">
        <f t="shared" si="47"/>
        <v>31274.465859853583</v>
      </c>
      <c r="AG46" s="119">
        <f t="shared" si="48"/>
        <v>30774.715480597835</v>
      </c>
      <c r="AH46" s="128">
        <f t="shared" si="48"/>
        <v>22588.783765254357</v>
      </c>
      <c r="AI46" s="119">
        <f t="shared" si="48"/>
        <v>17866.447278211985</v>
      </c>
    </row>
    <row r="47" spans="2:35" s="188" customFormat="1" ht="15.6" outlineLevel="2" thickTop="1" thickBot="1" x14ac:dyDescent="0.35">
      <c r="B47" s="214" t="s">
        <v>335</v>
      </c>
      <c r="C47" s="215" t="s">
        <v>336</v>
      </c>
      <c r="D47" s="216"/>
      <c r="E47" s="217"/>
      <c r="F47" s="216"/>
      <c r="G47" s="217"/>
      <c r="H47" s="216"/>
      <c r="I47" s="217"/>
      <c r="J47" s="216"/>
      <c r="K47" s="217">
        <v>1597</v>
      </c>
      <c r="L47" s="216">
        <v>1578</v>
      </c>
      <c r="M47" s="217">
        <v>1775</v>
      </c>
      <c r="N47" s="216">
        <v>3853</v>
      </c>
      <c r="O47" s="217">
        <v>3011</v>
      </c>
      <c r="P47" s="216">
        <v>2656</v>
      </c>
      <c r="Q47" s="217">
        <v>2862</v>
      </c>
      <c r="R47" s="216">
        <v>436</v>
      </c>
      <c r="S47" s="192"/>
      <c r="T47" s="192"/>
      <c r="U47" s="210"/>
      <c r="V47" s="211"/>
      <c r="W47" s="210"/>
      <c r="X47" s="211"/>
      <c r="Y47" s="210"/>
      <c r="Z47" s="211"/>
      <c r="AA47" s="210"/>
      <c r="AB47" s="211"/>
      <c r="AC47" s="210"/>
      <c r="AD47" s="211"/>
      <c r="AE47" s="210">
        <f t="shared" si="47"/>
        <v>11513.521589720604</v>
      </c>
      <c r="AF47" s="218">
        <f t="shared" si="47"/>
        <v>8997.4600328701636</v>
      </c>
      <c r="AG47" s="210">
        <f t="shared" si="48"/>
        <v>7283.6966954614018</v>
      </c>
      <c r="AH47" s="218">
        <f t="shared" si="48"/>
        <v>7848.6219662690255</v>
      </c>
      <c r="AI47" s="210">
        <f t="shared" si="48"/>
        <v>1195.6670780200193</v>
      </c>
    </row>
    <row r="48" spans="2:35" ht="30" outlineLevel="2" thickTop="1" thickBot="1" x14ac:dyDescent="0.35">
      <c r="B48" s="99" t="s">
        <v>91</v>
      </c>
      <c r="C48" s="99" t="s">
        <v>92</v>
      </c>
      <c r="D48" s="119">
        <f t="shared" ref="D48:M48" si="52">D46+D44+D43</f>
        <v>15570.838367</v>
      </c>
      <c r="E48" s="128">
        <f t="shared" si="52"/>
        <v>14819.843905</v>
      </c>
      <c r="F48" s="119">
        <f t="shared" si="52"/>
        <v>14756.130637999999</v>
      </c>
      <c r="G48" s="128">
        <f t="shared" si="52"/>
        <v>16594.997394999999</v>
      </c>
      <c r="H48" s="119">
        <f t="shared" si="52"/>
        <v>16893.434052000001</v>
      </c>
      <c r="I48" s="128">
        <f t="shared" si="52"/>
        <v>15927.022112999999</v>
      </c>
      <c r="J48" s="119">
        <f t="shared" si="52"/>
        <v>19658.112309</v>
      </c>
      <c r="K48" s="128">
        <f t="shared" si="52"/>
        <v>22859.098103999997</v>
      </c>
      <c r="L48" s="119">
        <f t="shared" si="52"/>
        <v>25785.600092000001</v>
      </c>
      <c r="M48" s="128">
        <f t="shared" si="52"/>
        <v>33211.463546000006</v>
      </c>
      <c r="N48" s="119">
        <v>33179</v>
      </c>
      <c r="O48" s="128">
        <v>37676</v>
      </c>
      <c r="P48" s="119">
        <v>39606</v>
      </c>
      <c r="Q48" s="128">
        <v>37838</v>
      </c>
      <c r="R48" s="119">
        <v>37187</v>
      </c>
      <c r="S48" s="141"/>
      <c r="T48" s="141"/>
      <c r="U48" s="285">
        <f t="shared" si="49"/>
        <v>50440.033582766438</v>
      </c>
      <c r="V48" s="286">
        <f t="shared" ref="V48:AD48" si="53">E48/V$40*1000</f>
        <v>47980.846003172854</v>
      </c>
      <c r="W48" s="285">
        <f t="shared" si="53"/>
        <v>47412.301635446449</v>
      </c>
      <c r="X48" s="286">
        <f t="shared" si="53"/>
        <v>53508.084719803956</v>
      </c>
      <c r="Y48" s="285">
        <f t="shared" si="53"/>
        <v>54050.340911854102</v>
      </c>
      <c r="Z48" s="286">
        <f t="shared" si="53"/>
        <v>48469.330836883739</v>
      </c>
      <c r="AA48" s="285">
        <f t="shared" si="53"/>
        <v>60714.411974180002</v>
      </c>
      <c r="AB48" s="286">
        <f t="shared" si="53"/>
        <v>71099.182308481846</v>
      </c>
      <c r="AC48" s="285">
        <f t="shared" si="53"/>
        <v>80381.558315408824</v>
      </c>
      <c r="AD48" s="286">
        <f t="shared" si="53"/>
        <v>102650.25513383199</v>
      </c>
      <c r="AE48" s="285">
        <f>+AE46+AE44+AE43</f>
        <v>99145.375765725388</v>
      </c>
      <c r="AF48" s="128">
        <f>+AF46+AF44+AF43</f>
        <v>112583.29598087555</v>
      </c>
      <c r="AG48" s="285">
        <f t="shared" si="48"/>
        <v>108613.7392019745</v>
      </c>
      <c r="AH48" s="128">
        <f t="shared" si="48"/>
        <v>103765.25435348965</v>
      </c>
      <c r="AI48" s="285">
        <f t="shared" si="48"/>
        <v>101979.98080351022</v>
      </c>
    </row>
    <row r="49" spans="4:32" s="90" customFormat="1" ht="15" outlineLevel="1" thickTop="1" x14ac:dyDescent="0.3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 s="106"/>
      <c r="W49" s="106"/>
      <c r="X49"/>
      <c r="Y49"/>
      <c r="Z49"/>
      <c r="AA49"/>
      <c r="AB49"/>
      <c r="AC49"/>
      <c r="AD49"/>
      <c r="AE49" s="204"/>
      <c r="AF49"/>
    </row>
    <row r="50" spans="4:32" outlineLevel="1" x14ac:dyDescent="0.3"/>
  </sheetData>
  <mergeCells count="2">
    <mergeCell ref="U39:V39"/>
    <mergeCell ref="U1:AF1"/>
  </mergeCells>
  <phoneticPr fontId="3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73099-6104-405C-9264-BF3D4A3D49FE}">
  <dimension ref="B2:M25"/>
  <sheetViews>
    <sheetView workbookViewId="0">
      <selection activeCell="D12" sqref="A12:D12"/>
    </sheetView>
  </sheetViews>
  <sheetFormatPr defaultRowHeight="14.4" x14ac:dyDescent="0.3"/>
  <cols>
    <col min="2" max="3" width="37.44140625" customWidth="1"/>
    <col min="4" max="4" width="17.33203125" customWidth="1"/>
    <col min="5" max="5" width="11.44140625" customWidth="1"/>
    <col min="6" max="7" width="11.33203125" customWidth="1"/>
    <col min="8" max="8" width="10.6640625" customWidth="1"/>
    <col min="10" max="10" width="33.44140625" customWidth="1"/>
  </cols>
  <sheetData>
    <row r="2" spans="2:12" ht="15" thickBot="1" x14ac:dyDescent="0.35"/>
    <row r="3" spans="2:12" x14ac:dyDescent="0.3">
      <c r="D3" s="62">
        <v>43830</v>
      </c>
      <c r="E3" s="63">
        <v>43465</v>
      </c>
      <c r="F3" s="62">
        <v>43100</v>
      </c>
      <c r="G3" s="63">
        <v>42735</v>
      </c>
      <c r="H3" s="64" t="s">
        <v>262</v>
      </c>
    </row>
    <row r="4" spans="2:12" ht="27.6" x14ac:dyDescent="0.3">
      <c r="B4" s="65" t="s">
        <v>272</v>
      </c>
      <c r="C4" s="65"/>
      <c r="D4" s="67" t="s">
        <v>263</v>
      </c>
      <c r="E4" s="67" t="s">
        <v>263</v>
      </c>
      <c r="F4" s="66" t="s">
        <v>263</v>
      </c>
      <c r="G4" s="67" t="s">
        <v>263</v>
      </c>
      <c r="H4" s="68" t="s">
        <v>286</v>
      </c>
    </row>
    <row r="5" spans="2:12" ht="27.6" x14ac:dyDescent="0.3">
      <c r="B5" s="69" t="s">
        <v>264</v>
      </c>
      <c r="C5" s="73" t="s">
        <v>275</v>
      </c>
      <c r="D5" s="73"/>
      <c r="E5" s="71">
        <v>10230.591</v>
      </c>
      <c r="F5" s="70">
        <f>+[1]Árbev_EBITDA_szegmens!I4</f>
        <v>9557.5337209999998</v>
      </c>
      <c r="G5" s="71">
        <f>+[1]Árbev_EBITDA_szegmens!J4</f>
        <v>8291.0161179999996</v>
      </c>
      <c r="H5" s="72">
        <f>E5/F5-1</f>
        <v>7.0421648371602918E-2</v>
      </c>
      <c r="K5" s="73"/>
      <c r="L5" s="81"/>
    </row>
    <row r="6" spans="2:12" ht="27.6" x14ac:dyDescent="0.3">
      <c r="B6" s="73" t="s">
        <v>265</v>
      </c>
      <c r="C6" s="73" t="s">
        <v>276</v>
      </c>
      <c r="D6" s="73"/>
      <c r="E6" s="43">
        <v>626.95699999999999</v>
      </c>
      <c r="F6" s="74">
        <f>+[1]Árbev_EBITDA_szegmens!I14</f>
        <v>837.77375500000005</v>
      </c>
      <c r="G6" s="43">
        <f>+[1]Árbev_EBITDA_szegmens!J14</f>
        <v>1015.4943420000001</v>
      </c>
      <c r="H6" s="75">
        <f t="shared" ref="H6:H25" si="0">E6/F6-1</f>
        <v>-0.25163924477438426</v>
      </c>
      <c r="K6" s="73"/>
      <c r="L6" s="81"/>
    </row>
    <row r="7" spans="2:12" x14ac:dyDescent="0.3">
      <c r="B7" s="73" t="s">
        <v>266</v>
      </c>
      <c r="C7" s="73" t="s">
        <v>277</v>
      </c>
      <c r="D7" s="73"/>
      <c r="E7" s="43">
        <v>7581.6869999999999</v>
      </c>
      <c r="F7" s="74">
        <f>+[1]Árbev_EBITDA_szegmens!I23</f>
        <v>6216.3799730000001</v>
      </c>
      <c r="G7" s="43">
        <f>+[1]Árbev_EBITDA_szegmens!J23</f>
        <v>3897.1971610000001</v>
      </c>
      <c r="H7" s="75">
        <f t="shared" si="0"/>
        <v>0.21963056198784914</v>
      </c>
      <c r="K7" s="73"/>
      <c r="L7" s="81"/>
    </row>
    <row r="8" spans="2:12" x14ac:dyDescent="0.3">
      <c r="B8" s="73" t="s">
        <v>267</v>
      </c>
      <c r="C8" s="73" t="s">
        <v>278</v>
      </c>
      <c r="D8" s="73"/>
      <c r="E8" s="43">
        <v>6943.4889999999996</v>
      </c>
      <c r="F8" s="74">
        <f>+[1]Árbev_EBITDA_szegmens!I33</f>
        <v>5120.8255200000003</v>
      </c>
      <c r="G8" s="43">
        <f>+[1]Árbev_EBITDA_szegmens!J33</f>
        <v>3091.856252</v>
      </c>
      <c r="H8" s="75">
        <f t="shared" si="0"/>
        <v>0.35593157253285979</v>
      </c>
      <c r="K8" s="73"/>
      <c r="L8" s="81"/>
    </row>
    <row r="9" spans="2:12" x14ac:dyDescent="0.3">
      <c r="B9" s="73" t="s">
        <v>268</v>
      </c>
      <c r="C9" s="73" t="s">
        <v>279</v>
      </c>
      <c r="D9" s="73"/>
      <c r="E9" s="43">
        <v>346.96300000000002</v>
      </c>
      <c r="F9" s="74">
        <v>346</v>
      </c>
      <c r="G9" s="43">
        <f>+[1]Árbev_EBITDA_szegmens!K43</f>
        <v>729.72434799999996</v>
      </c>
      <c r="H9" s="75">
        <f t="shared" si="0"/>
        <v>2.7832369942197843E-3</v>
      </c>
      <c r="K9" s="73"/>
      <c r="L9" s="81"/>
    </row>
    <row r="10" spans="2:12" ht="15" thickBot="1" x14ac:dyDescent="0.35">
      <c r="B10" s="73" t="s">
        <v>269</v>
      </c>
      <c r="C10" s="73"/>
      <c r="D10" s="73"/>
      <c r="E10" s="43">
        <f>+'éves P&amp;L_mérleg'!I69-SUM(szegmensek!E5:E9)</f>
        <v>-7043.9200000000019</v>
      </c>
      <c r="F10" s="74">
        <f>-3670-20</f>
        <v>-3690</v>
      </c>
      <c r="G10" s="43">
        <f>+([2]KÁT!$C$35+[2]Egyéb!$C$35+[2]Enkisker!$C$35+[2]Eterm!$C$35+[2]Enszolg!$C$35)/1000</f>
        <v>-3077.0695139999998</v>
      </c>
      <c r="H10" s="75">
        <f t="shared" si="0"/>
        <v>0.9089214092140927</v>
      </c>
    </row>
    <row r="11" spans="2:12" ht="15" thickBot="1" x14ac:dyDescent="0.35">
      <c r="B11" s="76" t="s">
        <v>270</v>
      </c>
      <c r="C11" s="76"/>
      <c r="D11" s="76"/>
      <c r="E11" s="78">
        <f>+SUM(E5:E10)</f>
        <v>18685.767</v>
      </c>
      <c r="F11" s="77">
        <f>+SUM(F5:F10)</f>
        <v>18388.512969000003</v>
      </c>
      <c r="G11" s="78">
        <f>+SUM(G5:G10)</f>
        <v>13948.218707</v>
      </c>
      <c r="H11" s="79">
        <f t="shared" ref="H11" si="1">F11/G11-1</f>
        <v>0.31834131334430649</v>
      </c>
    </row>
    <row r="12" spans="2:12" ht="27.6" x14ac:dyDescent="0.3">
      <c r="B12" s="73" t="s">
        <v>264</v>
      </c>
      <c r="C12" s="73"/>
      <c r="D12" s="73"/>
      <c r="E12" s="43">
        <f>-8697-30-426</f>
        <v>-9153</v>
      </c>
      <c r="F12" s="74">
        <f>-8660-1+217</f>
        <v>-8444</v>
      </c>
      <c r="G12" s="43">
        <f>+[1]Árbev_EBITDA_szegmens!J5+[1]Árbev_EBITDA_szegmens!J6+[1]Árbev_EBITDA_szegmens!J7+[1]Árbev_EBITDA_szegmens!J8</f>
        <v>-6694.334866000002</v>
      </c>
      <c r="H12" s="75">
        <f t="shared" si="0"/>
        <v>8.3964945523448575E-2</v>
      </c>
    </row>
    <row r="13" spans="2:12" ht="27.6" x14ac:dyDescent="0.3">
      <c r="B13" s="73" t="s">
        <v>265</v>
      </c>
      <c r="C13" s="73"/>
      <c r="D13" s="73"/>
      <c r="E13" s="43">
        <f>-164-73+43</f>
        <v>-194</v>
      </c>
      <c r="F13" s="74">
        <f>-221-97+38</f>
        <v>-280</v>
      </c>
      <c r="G13" s="43">
        <f>+[1]Árbev_EBITDA_szegmens!J15+[1]Árbev_EBITDA_szegmens!J16+[1]Árbev_EBITDA_szegmens!J17</f>
        <v>-302.82872500000002</v>
      </c>
      <c r="H13" s="75">
        <f t="shared" si="0"/>
        <v>-0.30714285714285716</v>
      </c>
    </row>
    <row r="14" spans="2:12" x14ac:dyDescent="0.3">
      <c r="B14" s="73" t="s">
        <v>266</v>
      </c>
      <c r="C14" s="73"/>
      <c r="D14" s="73"/>
      <c r="E14" s="43">
        <f>-4927-1611+213</f>
        <v>-6325</v>
      </c>
      <c r="F14" s="74">
        <f>-3759-1345+55</f>
        <v>-5049</v>
      </c>
      <c r="G14" s="43">
        <f>+[1]Árbev_EBITDA_szegmens!J24+[1]Árbev_EBITDA_szegmens!J25+[1]Árbev_EBITDA_szegmens!J26+[1]Árbev_EBITDA_szegmens!J27</f>
        <v>-3133.6149570000002</v>
      </c>
      <c r="H14" s="75">
        <f t="shared" si="0"/>
        <v>0.25272331154684102</v>
      </c>
    </row>
    <row r="15" spans="2:12" x14ac:dyDescent="0.3">
      <c r="B15" s="73" t="s">
        <v>267</v>
      </c>
      <c r="C15" s="73"/>
      <c r="D15" s="73"/>
      <c r="E15" s="43">
        <f>-6626-53+18</f>
        <v>-6661</v>
      </c>
      <c r="F15" s="74">
        <f>-5217-47+2</f>
        <v>-5262</v>
      </c>
      <c r="G15" s="43">
        <f>+[1]Árbev_EBITDA_szegmens!J34+[1]Árbev_EBITDA_szegmens!J35+[1]Árbev_EBITDA_szegmens!J36+[1]Árbev_EBITDA_szegmens!J37</f>
        <v>-2966.2490310000003</v>
      </c>
      <c r="H15" s="75">
        <f t="shared" si="0"/>
        <v>0.2658684910680349</v>
      </c>
    </row>
    <row r="16" spans="2:12" x14ac:dyDescent="0.3">
      <c r="B16" s="73" t="s">
        <v>268</v>
      </c>
      <c r="C16" s="73"/>
      <c r="D16" s="73"/>
      <c r="E16" s="43">
        <f>-545-800-10</f>
        <v>-1355</v>
      </c>
      <c r="F16" s="74">
        <f>-407-681+9</f>
        <v>-1079</v>
      </c>
      <c r="G16" s="43">
        <f>+[1]Árbev_EBITDA_szegmens!K44+[1]Árbev_EBITDA_szegmens!K45+[1]Árbev_EBITDA_szegmens!K46</f>
        <v>-1614.6495629999999</v>
      </c>
      <c r="H16" s="75">
        <f t="shared" si="0"/>
        <v>0.25579240037071371</v>
      </c>
    </row>
    <row r="17" spans="2:13" ht="15" thickBot="1" x14ac:dyDescent="0.35">
      <c r="B17" s="73" t="s">
        <v>269</v>
      </c>
      <c r="C17" s="73"/>
      <c r="D17" s="73"/>
      <c r="E17" s="43">
        <f>-E10-241</f>
        <v>6802.9200000000019</v>
      </c>
      <c r="F17" s="74">
        <f>-F10-13</f>
        <v>3677</v>
      </c>
      <c r="G17" s="43">
        <f>+SUM([2]Sheet1!$R$37:$X$37)/1000-G10</f>
        <v>3077.0445830000003</v>
      </c>
      <c r="H17" s="75">
        <f t="shared" si="0"/>
        <v>0.85012782159369094</v>
      </c>
    </row>
    <row r="18" spans="2:13" ht="15" thickBot="1" x14ac:dyDescent="0.35">
      <c r="B18" s="76" t="s">
        <v>271</v>
      </c>
      <c r="C18" s="76"/>
      <c r="D18" s="76"/>
      <c r="E18" s="78">
        <f>+SUM(E12:E17)</f>
        <v>-16885.079999999998</v>
      </c>
      <c r="F18" s="77">
        <f>+SUM(F12:F17)</f>
        <v>-16437</v>
      </c>
      <c r="G18" s="78">
        <f>+SUM(G12:G17)</f>
        <v>-11634.632559</v>
      </c>
      <c r="H18" s="79">
        <f t="shared" si="0"/>
        <v>2.7260448987041386E-2</v>
      </c>
    </row>
    <row r="19" spans="2:13" ht="27.6" x14ac:dyDescent="0.3">
      <c r="B19" s="73" t="s">
        <v>264</v>
      </c>
      <c r="C19" s="73" t="s">
        <v>275</v>
      </c>
      <c r="D19" s="73"/>
      <c r="E19" s="43">
        <f t="shared" ref="E19:G24" si="2">+E5+E12</f>
        <v>1077.5910000000003</v>
      </c>
      <c r="F19" s="74">
        <f>+F5+F12</f>
        <v>1113.5337209999998</v>
      </c>
      <c r="G19" s="43">
        <f t="shared" si="2"/>
        <v>1596.6812519999976</v>
      </c>
      <c r="H19" s="75">
        <f t="shared" si="0"/>
        <v>-3.2278071442435885E-2</v>
      </c>
      <c r="L19" s="43"/>
      <c r="M19" s="81"/>
    </row>
    <row r="20" spans="2:13" ht="27.6" x14ac:dyDescent="0.3">
      <c r="B20" s="73" t="s">
        <v>265</v>
      </c>
      <c r="C20" s="73" t="s">
        <v>276</v>
      </c>
      <c r="D20" s="73"/>
      <c r="E20" s="43">
        <f t="shared" si="2"/>
        <v>432.95699999999999</v>
      </c>
      <c r="F20" s="74">
        <f t="shared" ref="F20:F24" si="3">+F6+F13</f>
        <v>557.77375500000005</v>
      </c>
      <c r="G20" s="43">
        <f t="shared" si="2"/>
        <v>712.66561700000011</v>
      </c>
      <c r="H20" s="75">
        <f t="shared" si="0"/>
        <v>-0.22377667267618218</v>
      </c>
      <c r="L20" s="43"/>
      <c r="M20" s="81"/>
    </row>
    <row r="21" spans="2:13" x14ac:dyDescent="0.3">
      <c r="B21" s="73" t="s">
        <v>266</v>
      </c>
      <c r="C21" s="73" t="s">
        <v>277</v>
      </c>
      <c r="D21" s="73"/>
      <c r="E21" s="43">
        <f t="shared" si="2"/>
        <v>1256.6869999999999</v>
      </c>
      <c r="F21" s="74">
        <f t="shared" si="3"/>
        <v>1167.3799730000001</v>
      </c>
      <c r="G21" s="43">
        <f t="shared" si="2"/>
        <v>763.58220399999982</v>
      </c>
      <c r="H21" s="75">
        <f t="shared" si="0"/>
        <v>7.6502106482513543E-2</v>
      </c>
      <c r="L21" s="43"/>
      <c r="M21" s="81"/>
    </row>
    <row r="22" spans="2:13" x14ac:dyDescent="0.3">
      <c r="B22" s="73" t="s">
        <v>267</v>
      </c>
      <c r="C22" s="73" t="s">
        <v>278</v>
      </c>
      <c r="D22" s="73"/>
      <c r="E22" s="43">
        <f t="shared" si="2"/>
        <v>282.48899999999958</v>
      </c>
      <c r="F22" s="74">
        <f t="shared" si="3"/>
        <v>-141.17447999999968</v>
      </c>
      <c r="G22" s="43">
        <f t="shared" si="2"/>
        <v>125.60722099999975</v>
      </c>
      <c r="H22" s="75">
        <f t="shared" si="0"/>
        <v>-3.000991963986694</v>
      </c>
      <c r="L22" s="43"/>
      <c r="M22" s="81"/>
    </row>
    <row r="23" spans="2:13" x14ac:dyDescent="0.3">
      <c r="B23" s="73" t="s">
        <v>268</v>
      </c>
      <c r="C23" s="73" t="s">
        <v>279</v>
      </c>
      <c r="D23" s="73"/>
      <c r="E23" s="43">
        <f t="shared" si="2"/>
        <v>-1008.037</v>
      </c>
      <c r="F23" s="74">
        <f t="shared" si="3"/>
        <v>-733</v>
      </c>
      <c r="G23" s="43">
        <f t="shared" si="2"/>
        <v>-884.92521499999998</v>
      </c>
      <c r="H23" s="75">
        <f t="shared" si="0"/>
        <v>0.37522100954979543</v>
      </c>
      <c r="L23" s="43"/>
      <c r="M23" s="81"/>
    </row>
    <row r="24" spans="2:13" ht="15" thickBot="1" x14ac:dyDescent="0.35">
      <c r="B24" s="73" t="s">
        <v>269</v>
      </c>
      <c r="C24" s="73"/>
      <c r="D24" s="73"/>
      <c r="E24" s="43">
        <f t="shared" si="2"/>
        <v>-241</v>
      </c>
      <c r="F24" s="74">
        <f t="shared" si="3"/>
        <v>-13</v>
      </c>
      <c r="G24" s="43">
        <f t="shared" si="2"/>
        <v>-2.493099999946935E-2</v>
      </c>
      <c r="H24" s="75"/>
      <c r="L24" s="43"/>
      <c r="M24" s="81"/>
    </row>
    <row r="25" spans="2:13" ht="15" thickBot="1" x14ac:dyDescent="0.35">
      <c r="B25" s="76" t="s">
        <v>140</v>
      </c>
      <c r="C25" s="76"/>
      <c r="D25" s="76"/>
      <c r="E25" s="78">
        <f>+SUM(E19:E24)</f>
        <v>1800.6869999999997</v>
      </c>
      <c r="F25" s="77">
        <f>+SUM(F19:F24)</f>
        <v>1951.5129690000003</v>
      </c>
      <c r="G25" s="78">
        <f>+SUM(G19:G24)</f>
        <v>2313.586147999998</v>
      </c>
      <c r="H25" s="79">
        <f t="shared" si="0"/>
        <v>-7.7286685456816273E-2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BD178-045D-4C96-B691-6F850929037D}">
  <dimension ref="B2:M99"/>
  <sheetViews>
    <sheetView topLeftCell="A10" workbookViewId="0">
      <selection activeCell="F31" sqref="F31"/>
    </sheetView>
  </sheetViews>
  <sheetFormatPr defaultRowHeight="14.4" outlineLevelRow="1" outlineLevelCol="1" x14ac:dyDescent="0.3"/>
  <cols>
    <col min="2" max="2" width="47.6640625" customWidth="1"/>
    <col min="3" max="3" width="37.44140625" hidden="1" customWidth="1" outlineLevel="1"/>
    <col min="4" max="4" width="17.33203125" customWidth="1" collapsed="1"/>
    <col min="5" max="5" width="11.44140625" customWidth="1"/>
    <col min="6" max="7" width="11.33203125" customWidth="1"/>
    <col min="8" max="8" width="10.6640625" customWidth="1"/>
    <col min="9" max="9" width="12.33203125" customWidth="1"/>
    <col min="10" max="10" width="14.109375" customWidth="1"/>
  </cols>
  <sheetData>
    <row r="2" spans="2:12" ht="15" thickBot="1" x14ac:dyDescent="0.35"/>
    <row r="3" spans="2:12" x14ac:dyDescent="0.3">
      <c r="B3" s="63"/>
      <c r="D3" s="62">
        <v>43830</v>
      </c>
      <c r="E3" s="63">
        <v>43465</v>
      </c>
      <c r="F3" s="62">
        <v>43100</v>
      </c>
      <c r="G3" s="63">
        <v>42735</v>
      </c>
      <c r="H3" s="64" t="s">
        <v>262</v>
      </c>
    </row>
    <row r="4" spans="2:12" ht="27.6" x14ac:dyDescent="0.3">
      <c r="B4" s="65" t="s">
        <v>272</v>
      </c>
      <c r="C4" s="65"/>
      <c r="D4" s="67" t="s">
        <v>263</v>
      </c>
      <c r="E4" s="67" t="s">
        <v>263</v>
      </c>
      <c r="F4" s="66" t="s">
        <v>263</v>
      </c>
      <c r="G4" s="67" t="s">
        <v>263</v>
      </c>
      <c r="H4" s="68" t="s">
        <v>338</v>
      </c>
    </row>
    <row r="5" spans="2:12" ht="27.6" x14ac:dyDescent="0.3">
      <c r="B5" s="69" t="s">
        <v>403</v>
      </c>
      <c r="C5" s="73" t="s">
        <v>275</v>
      </c>
      <c r="D5" s="70">
        <v>11699.308056</v>
      </c>
      <c r="E5" s="71">
        <v>10230.591</v>
      </c>
      <c r="F5" s="70">
        <f>+[1]Árbev_EBITDA_szegmens!I4</f>
        <v>9557.5337209999998</v>
      </c>
      <c r="G5" s="71">
        <f>+[1]Árbev_EBITDA_szegmens!J4</f>
        <v>8291.0161179999996</v>
      </c>
      <c r="H5" s="72">
        <f>D5/E5-1</f>
        <v>0.14356131097411673</v>
      </c>
      <c r="K5" s="73"/>
      <c r="L5" s="81"/>
    </row>
    <row r="6" spans="2:12" ht="27.6" x14ac:dyDescent="0.3">
      <c r="B6" s="73" t="s">
        <v>402</v>
      </c>
      <c r="C6" s="73" t="s">
        <v>276</v>
      </c>
      <c r="D6" s="74">
        <v>2361.5630350000001</v>
      </c>
      <c r="E6" s="43">
        <v>626.95699999999999</v>
      </c>
      <c r="F6" s="74">
        <f>+[1]Árbev_EBITDA_szegmens!I14</f>
        <v>837.77375500000005</v>
      </c>
      <c r="G6" s="43">
        <f>+[1]Árbev_EBITDA_szegmens!J14</f>
        <v>1015.4943420000001</v>
      </c>
      <c r="H6" s="75">
        <f t="shared" ref="H6:H25" si="0">D6/E6-1</f>
        <v>2.7667065444679619</v>
      </c>
      <c r="K6" s="73"/>
      <c r="L6" s="81"/>
    </row>
    <row r="7" spans="2:12" x14ac:dyDescent="0.3">
      <c r="B7" s="73" t="s">
        <v>266</v>
      </c>
      <c r="C7" s="73" t="s">
        <v>277</v>
      </c>
      <c r="D7" s="74">
        <v>9558.2110150000008</v>
      </c>
      <c r="E7" s="43">
        <v>7581.6869999999999</v>
      </c>
      <c r="F7" s="74">
        <f>+[1]Árbev_EBITDA_szegmens!I23</f>
        <v>6216.3799730000001</v>
      </c>
      <c r="G7" s="43">
        <f>+[1]Árbev_EBITDA_szegmens!J23</f>
        <v>3897.1971610000001</v>
      </c>
      <c r="H7" s="75">
        <f t="shared" si="0"/>
        <v>0.26069712651023469</v>
      </c>
      <c r="K7" s="73"/>
      <c r="L7" s="81"/>
    </row>
    <row r="8" spans="2:12" x14ac:dyDescent="0.3">
      <c r="B8" s="73" t="s">
        <v>267</v>
      </c>
      <c r="C8" s="73" t="s">
        <v>278</v>
      </c>
      <c r="D8" s="74">
        <v>9901.4330840000002</v>
      </c>
      <c r="E8" s="43">
        <v>6943.4889999999996</v>
      </c>
      <c r="F8" s="74">
        <f>+[1]Árbev_EBITDA_szegmens!I33</f>
        <v>5120.8255200000003</v>
      </c>
      <c r="G8" s="43">
        <f>+[1]Árbev_EBITDA_szegmens!J33</f>
        <v>3091.856252</v>
      </c>
      <c r="H8" s="75">
        <f t="shared" si="0"/>
        <v>0.4260025592321095</v>
      </c>
      <c r="K8" s="73"/>
      <c r="L8" s="81"/>
    </row>
    <row r="9" spans="2:12" x14ac:dyDescent="0.3">
      <c r="B9" s="73" t="s">
        <v>268</v>
      </c>
      <c r="C9" s="73" t="s">
        <v>279</v>
      </c>
      <c r="D9" s="74">
        <v>416.06544100000002</v>
      </c>
      <c r="E9" s="43">
        <v>346.96300000000002</v>
      </c>
      <c r="F9" s="74">
        <v>346</v>
      </c>
      <c r="G9" s="43">
        <f>+[1]Árbev_EBITDA_szegmens!K43</f>
        <v>729.72434799999996</v>
      </c>
      <c r="H9" s="75">
        <f t="shared" si="0"/>
        <v>0.19916371774511976</v>
      </c>
      <c r="K9" s="73"/>
      <c r="L9" s="81"/>
    </row>
    <row r="10" spans="2:12" ht="15" thickBot="1" x14ac:dyDescent="0.35">
      <c r="B10" s="73" t="s">
        <v>269</v>
      </c>
      <c r="C10" s="73"/>
      <c r="D10" s="74">
        <v>-8363.2303800000009</v>
      </c>
      <c r="E10" s="43">
        <f>+'éves P&amp;L_mérleg'!I69-SUM('szegmensek új '!E5:E9)</f>
        <v>-7043.9200000000019</v>
      </c>
      <c r="F10" s="74">
        <f>-3670-20</f>
        <v>-3690</v>
      </c>
      <c r="G10" s="43">
        <f>+([2]KÁT!$C$35+[2]Egyéb!$C$35+[2]Enkisker!$C$35+[2]Eterm!$C$35+[2]Enszolg!$C$35)/1000</f>
        <v>-3077.0695139999998</v>
      </c>
      <c r="H10" s="75">
        <f t="shared" si="0"/>
        <v>0.18729775182000918</v>
      </c>
    </row>
    <row r="11" spans="2:12" ht="15" thickBot="1" x14ac:dyDescent="0.35">
      <c r="B11" s="76" t="s">
        <v>270</v>
      </c>
      <c r="C11" s="76"/>
      <c r="D11" s="77">
        <v>25573.350251000003</v>
      </c>
      <c r="E11" s="78">
        <f>+SUM(E5:E10)</f>
        <v>18685.767</v>
      </c>
      <c r="F11" s="77">
        <f>+SUM(F5:F10)</f>
        <v>18388.512969000003</v>
      </c>
      <c r="G11" s="78">
        <f>+SUM(G5:G10)</f>
        <v>13948.218707</v>
      </c>
      <c r="H11" s="79">
        <f t="shared" si="0"/>
        <v>0.36860051027073193</v>
      </c>
    </row>
    <row r="12" spans="2:12" x14ac:dyDescent="0.3">
      <c r="B12" s="73" t="s">
        <v>264</v>
      </c>
      <c r="C12" s="73"/>
      <c r="D12" s="74">
        <v>-10450.240345</v>
      </c>
      <c r="E12" s="43">
        <f>-8697-30-426</f>
        <v>-9153</v>
      </c>
      <c r="F12" s="74">
        <f>-8660-1+217</f>
        <v>-8444</v>
      </c>
      <c r="G12" s="43">
        <f>+[1]Árbev_EBITDA_szegmens!J5+[1]Árbev_EBITDA_szegmens!J6+[1]Árbev_EBITDA_szegmens!J7+[1]Árbev_EBITDA_szegmens!J8</f>
        <v>-6694.334866000002</v>
      </c>
      <c r="H12" s="75">
        <f t="shared" si="0"/>
        <v>0.14172843275428826</v>
      </c>
    </row>
    <row r="13" spans="2:12" ht="27.6" x14ac:dyDescent="0.3">
      <c r="B13" s="73" t="s">
        <v>265</v>
      </c>
      <c r="C13" s="73"/>
      <c r="D13" s="74">
        <v>-457.91884499999998</v>
      </c>
      <c r="E13" s="43">
        <f>-164-73+43</f>
        <v>-194</v>
      </c>
      <c r="F13" s="74">
        <f>-221-97+38</f>
        <v>-280</v>
      </c>
      <c r="G13" s="43">
        <f>+[1]Árbev_EBITDA_szegmens!J15+[1]Árbev_EBITDA_szegmens!J16+[1]Árbev_EBITDA_szegmens!J17</f>
        <v>-302.82872500000002</v>
      </c>
      <c r="H13" s="75">
        <f t="shared" si="0"/>
        <v>1.3604064175257733</v>
      </c>
    </row>
    <row r="14" spans="2:12" x14ac:dyDescent="0.3">
      <c r="B14" s="73" t="s">
        <v>266</v>
      </c>
      <c r="C14" s="73"/>
      <c r="D14" s="74">
        <v>-7745.0220890000001</v>
      </c>
      <c r="E14" s="43">
        <f>-4927-1611+213</f>
        <v>-6325</v>
      </c>
      <c r="F14" s="74">
        <f>-3759-1345+55</f>
        <v>-5049</v>
      </c>
      <c r="G14" s="43">
        <f>+[1]Árbev_EBITDA_szegmens!J24+[1]Árbev_EBITDA_szegmens!J25+[1]Árbev_EBITDA_szegmens!J26+[1]Árbev_EBITDA_szegmens!J27</f>
        <v>-3133.6149570000002</v>
      </c>
      <c r="H14" s="75">
        <f t="shared" si="0"/>
        <v>0.22450942118577077</v>
      </c>
    </row>
    <row r="15" spans="2:12" x14ac:dyDescent="0.3">
      <c r="B15" s="73" t="s">
        <v>267</v>
      </c>
      <c r="C15" s="73"/>
      <c r="D15" s="74">
        <v>-9316.9100830000007</v>
      </c>
      <c r="E15" s="43">
        <f>-6626-53+18</f>
        <v>-6661</v>
      </c>
      <c r="F15" s="74">
        <f>-5217-47+2</f>
        <v>-5262</v>
      </c>
      <c r="G15" s="43">
        <f>+[1]Árbev_EBITDA_szegmens!J34+[1]Árbev_EBITDA_szegmens!J35+[1]Árbev_EBITDA_szegmens!J36+[1]Árbev_EBITDA_szegmens!J37</f>
        <v>-2966.2490310000003</v>
      </c>
      <c r="H15" s="75">
        <f t="shared" si="0"/>
        <v>0.39872542906470509</v>
      </c>
    </row>
    <row r="16" spans="2:12" x14ac:dyDescent="0.3">
      <c r="B16" s="73" t="s">
        <v>268</v>
      </c>
      <c r="C16" s="73"/>
      <c r="D16" s="74">
        <v>-1407.0520859999999</v>
      </c>
      <c r="E16" s="43">
        <f>-545-800-10</f>
        <v>-1355</v>
      </c>
      <c r="F16" s="74">
        <f>-407-681+9</f>
        <v>-1079</v>
      </c>
      <c r="G16" s="43">
        <f>+[1]Árbev_EBITDA_szegmens!K44+[1]Árbev_EBITDA_szegmens!K45+[1]Árbev_EBITDA_szegmens!K46</f>
        <v>-1614.6495629999999</v>
      </c>
      <c r="H16" s="75">
        <f t="shared" si="0"/>
        <v>3.8414823616236049E-2</v>
      </c>
    </row>
    <row r="17" spans="2:13" ht="15" thickBot="1" x14ac:dyDescent="0.35">
      <c r="B17" s="73" t="s">
        <v>269</v>
      </c>
      <c r="C17" s="73"/>
      <c r="D17" s="74">
        <v>7582.9740929999989</v>
      </c>
      <c r="E17" s="43">
        <f>-E10-241</f>
        <v>6802.9200000000019</v>
      </c>
      <c r="F17" s="74">
        <f>-F10-13</f>
        <v>3677</v>
      </c>
      <c r="G17" s="43">
        <f>+SUM([2]Sheet1!$R$37:$X$37)/1000-G10</f>
        <v>3077.0445830000003</v>
      </c>
      <c r="H17" s="75">
        <f t="shared" si="0"/>
        <v>0.1146645988781283</v>
      </c>
    </row>
    <row r="18" spans="2:13" ht="15" thickBot="1" x14ac:dyDescent="0.35">
      <c r="B18" s="76" t="s">
        <v>271</v>
      </c>
      <c r="C18" s="76"/>
      <c r="D18" s="77">
        <v>-21794.169354999998</v>
      </c>
      <c r="E18" s="78">
        <f>+SUM(E12:E17)</f>
        <v>-16885.079999999998</v>
      </c>
      <c r="F18" s="77">
        <f>+SUM(F12:F17)</f>
        <v>-16437</v>
      </c>
      <c r="G18" s="78">
        <f>+SUM(G12:G17)</f>
        <v>-11634.632559</v>
      </c>
      <c r="H18" s="79">
        <f t="shared" si="0"/>
        <v>0.29073533290929032</v>
      </c>
    </row>
    <row r="19" spans="2:13" x14ac:dyDescent="0.3">
      <c r="B19" s="73" t="s">
        <v>264</v>
      </c>
      <c r="C19" s="73" t="s">
        <v>275</v>
      </c>
      <c r="D19" s="74">
        <v>1249.0677110000006</v>
      </c>
      <c r="E19" s="43">
        <f t="shared" ref="E19:G24" si="1">+E5+E12</f>
        <v>1077.5910000000003</v>
      </c>
      <c r="F19" s="74">
        <f>+F5+F12</f>
        <v>1113.5337209999998</v>
      </c>
      <c r="G19" s="43">
        <f t="shared" si="1"/>
        <v>1596.6812519999976</v>
      </c>
      <c r="H19" s="75">
        <f t="shared" si="0"/>
        <v>0.15912967999918348</v>
      </c>
      <c r="L19" s="43"/>
      <c r="M19" s="81"/>
    </row>
    <row r="20" spans="2:13" ht="27.6" x14ac:dyDescent="0.3">
      <c r="B20" s="73" t="s">
        <v>265</v>
      </c>
      <c r="C20" s="73" t="s">
        <v>276</v>
      </c>
      <c r="D20" s="74">
        <v>1903.6441900000002</v>
      </c>
      <c r="E20" s="43">
        <f t="shared" si="1"/>
        <v>432.95699999999999</v>
      </c>
      <c r="F20" s="74">
        <f t="shared" si="1"/>
        <v>557.77375500000005</v>
      </c>
      <c r="G20" s="43">
        <f t="shared" si="1"/>
        <v>712.66561700000011</v>
      </c>
      <c r="H20" s="75">
        <f t="shared" si="0"/>
        <v>3.3968435433541906</v>
      </c>
      <c r="L20" s="43"/>
      <c r="M20" s="81"/>
    </row>
    <row r="21" spans="2:13" x14ac:dyDescent="0.3">
      <c r="B21" s="73" t="s">
        <v>266</v>
      </c>
      <c r="C21" s="73" t="s">
        <v>277</v>
      </c>
      <c r="D21" s="74">
        <v>1813.1889260000007</v>
      </c>
      <c r="E21" s="43">
        <f t="shared" si="1"/>
        <v>1256.6869999999999</v>
      </c>
      <c r="F21" s="74">
        <f t="shared" si="1"/>
        <v>1167.3799730000001</v>
      </c>
      <c r="G21" s="43">
        <f t="shared" si="1"/>
        <v>763.58220399999982</v>
      </c>
      <c r="H21" s="75">
        <f t="shared" si="0"/>
        <v>0.44283256371713953</v>
      </c>
      <c r="L21" s="43"/>
      <c r="M21" s="81"/>
    </row>
    <row r="22" spans="2:13" x14ac:dyDescent="0.3">
      <c r="B22" s="73" t="s">
        <v>267</v>
      </c>
      <c r="C22" s="73" t="s">
        <v>278</v>
      </c>
      <c r="D22" s="74">
        <v>584.52300100000025</v>
      </c>
      <c r="E22" s="43">
        <f t="shared" si="1"/>
        <v>282.48899999999958</v>
      </c>
      <c r="F22" s="74">
        <f t="shared" si="1"/>
        <v>-141.17447999999968</v>
      </c>
      <c r="G22" s="43">
        <f t="shared" si="1"/>
        <v>125.60722099999975</v>
      </c>
      <c r="H22" s="75">
        <f t="shared" si="0"/>
        <v>1.0691885383147701</v>
      </c>
      <c r="L22" s="43"/>
      <c r="M22" s="81"/>
    </row>
    <row r="23" spans="2:13" x14ac:dyDescent="0.3">
      <c r="B23" s="73" t="s">
        <v>268</v>
      </c>
      <c r="C23" s="73" t="s">
        <v>279</v>
      </c>
      <c r="D23" s="74">
        <v>-990.98664500000007</v>
      </c>
      <c r="E23" s="43">
        <f t="shared" si="1"/>
        <v>-1008.037</v>
      </c>
      <c r="F23" s="74">
        <f t="shared" si="1"/>
        <v>-733</v>
      </c>
      <c r="G23" s="43">
        <f t="shared" si="1"/>
        <v>-884.92521499999998</v>
      </c>
      <c r="H23" s="75">
        <f t="shared" si="0"/>
        <v>-1.6914413855840582E-2</v>
      </c>
      <c r="L23" s="43"/>
      <c r="M23" s="81"/>
    </row>
    <row r="24" spans="2:13" ht="15" thickBot="1" x14ac:dyDescent="0.35">
      <c r="B24" s="73" t="s">
        <v>269</v>
      </c>
      <c r="C24" s="73"/>
      <c r="D24" s="74">
        <v>-780.25628700000129</v>
      </c>
      <c r="E24" s="43">
        <f t="shared" si="1"/>
        <v>-241</v>
      </c>
      <c r="F24" s="74">
        <f t="shared" si="1"/>
        <v>-13</v>
      </c>
      <c r="G24" s="43">
        <f t="shared" si="1"/>
        <v>-2.493099999946935E-2</v>
      </c>
      <c r="H24" s="75">
        <f t="shared" si="0"/>
        <v>2.2375779543568517</v>
      </c>
      <c r="L24" s="43"/>
      <c r="M24" s="81"/>
    </row>
    <row r="25" spans="2:13" ht="15" thickBot="1" x14ac:dyDescent="0.35">
      <c r="B25" s="76" t="s">
        <v>140</v>
      </c>
      <c r="C25" s="76"/>
      <c r="D25" s="77">
        <v>3779.1808960000008</v>
      </c>
      <c r="E25" s="78">
        <f>+SUM(E19:E24)</f>
        <v>1800.6869999999997</v>
      </c>
      <c r="F25" s="77">
        <f>+SUM(F19:F24)</f>
        <v>1951.5129690000003</v>
      </c>
      <c r="G25" s="78">
        <f>+SUM(G19:G24)</f>
        <v>2313.586147999998</v>
      </c>
      <c r="H25" s="79">
        <f t="shared" si="0"/>
        <v>1.0987439216254695</v>
      </c>
    </row>
    <row r="28" spans="2:13" x14ac:dyDescent="0.3">
      <c r="B28" s="192" t="s">
        <v>326</v>
      </c>
      <c r="C28" s="192" t="s">
        <v>327</v>
      </c>
    </row>
    <row r="29" spans="2:13" x14ac:dyDescent="0.3">
      <c r="B29" s="153" t="s">
        <v>328</v>
      </c>
      <c r="C29" s="153" t="s">
        <v>329</v>
      </c>
      <c r="D29" s="196">
        <v>2016</v>
      </c>
      <c r="E29" s="196">
        <v>2017</v>
      </c>
      <c r="F29" s="196">
        <v>2018</v>
      </c>
      <c r="G29" s="196">
        <v>2019</v>
      </c>
      <c r="H29" s="196" t="s">
        <v>318</v>
      </c>
      <c r="I29" s="196" t="s">
        <v>320</v>
      </c>
      <c r="J29" s="196" t="s">
        <v>411</v>
      </c>
    </row>
    <row r="30" spans="2:13" outlineLevel="1" x14ac:dyDescent="0.3">
      <c r="B30" t="s">
        <v>399</v>
      </c>
      <c r="C30" t="s">
        <v>324</v>
      </c>
      <c r="D30" s="74">
        <f>G5</f>
        <v>8291.0161179999996</v>
      </c>
      <c r="E30" s="43">
        <f>F5</f>
        <v>9557.5337209999998</v>
      </c>
      <c r="F30" s="74">
        <v>8895.7819999999992</v>
      </c>
      <c r="G30" s="43">
        <v>10305.097</v>
      </c>
      <c r="H30" s="74"/>
      <c r="I30" s="43"/>
      <c r="J30" s="74"/>
    </row>
    <row r="31" spans="2:13" outlineLevel="1" x14ac:dyDescent="0.3">
      <c r="B31" t="s">
        <v>400</v>
      </c>
      <c r="D31" s="74"/>
      <c r="E31" s="43"/>
      <c r="F31" s="74">
        <v>1334.809</v>
      </c>
      <c r="G31" s="43">
        <v>1394.211</v>
      </c>
      <c r="H31" s="74"/>
      <c r="I31" s="43"/>
      <c r="J31" s="74"/>
    </row>
    <row r="32" spans="2:13" x14ac:dyDescent="0.3">
      <c r="B32" s="80" t="s">
        <v>270</v>
      </c>
      <c r="C32" s="80"/>
      <c r="D32" s="269">
        <f t="shared" ref="D32:E32" si="2">+D30+D31</f>
        <v>8291.0161179999996</v>
      </c>
      <c r="E32" s="252">
        <f t="shared" si="2"/>
        <v>9557.5337209999998</v>
      </c>
      <c r="F32" s="269">
        <f>+F30+F31</f>
        <v>10230.590999999999</v>
      </c>
      <c r="G32" s="252">
        <f>+G30+G31</f>
        <v>11699.307999999999</v>
      </c>
      <c r="H32" s="269">
        <v>4264</v>
      </c>
      <c r="I32" s="252">
        <v>7529</v>
      </c>
      <c r="J32" s="269">
        <v>10144.878578</v>
      </c>
    </row>
    <row r="33" spans="2:10" x14ac:dyDescent="0.3">
      <c r="B33" t="s">
        <v>170</v>
      </c>
      <c r="D33" s="74"/>
      <c r="E33" s="43"/>
      <c r="F33" s="74">
        <v>-8697.0027009999994</v>
      </c>
      <c r="G33" s="43">
        <v>-9538.7446299999992</v>
      </c>
      <c r="H33" s="74">
        <v>-3406.4639940000002</v>
      </c>
      <c r="I33" s="43">
        <v>-5336.8611979999996</v>
      </c>
      <c r="J33" s="74">
        <v>-7165.1117979999999</v>
      </c>
    </row>
    <row r="34" spans="2:10" x14ac:dyDescent="0.3">
      <c r="B34" t="s">
        <v>144</v>
      </c>
      <c r="D34" s="74"/>
      <c r="E34" s="43"/>
      <c r="F34" s="74">
        <v>-29.589324000000001</v>
      </c>
      <c r="G34" s="43">
        <v>-159.22743</v>
      </c>
      <c r="H34" s="74">
        <v>-41.093249999999998</v>
      </c>
      <c r="I34" s="43">
        <v>-86.078826000000007</v>
      </c>
      <c r="J34" s="74">
        <v>-150.81429700000001</v>
      </c>
    </row>
    <row r="35" spans="2:10" x14ac:dyDescent="0.3">
      <c r="B35" t="s">
        <v>401</v>
      </c>
      <c r="D35" s="74"/>
      <c r="E35" s="43"/>
      <c r="F35" s="74">
        <v>-426.18168900000001</v>
      </c>
      <c r="G35" s="43">
        <v>-752.26828499999999</v>
      </c>
      <c r="H35" s="74">
        <v>-526.94573000000003</v>
      </c>
      <c r="I35" s="43">
        <v>-589.75798599999996</v>
      </c>
      <c r="J35" s="74">
        <v>-679.86588200000006</v>
      </c>
    </row>
    <row r="36" spans="2:10" ht="15" thickBot="1" x14ac:dyDescent="0.35">
      <c r="B36" s="80" t="s">
        <v>271</v>
      </c>
      <c r="C36" s="80" t="s">
        <v>325</v>
      </c>
      <c r="D36" s="269">
        <f>G12</f>
        <v>-6694.334866000002</v>
      </c>
      <c r="E36" s="252">
        <f>F12</f>
        <v>-8444</v>
      </c>
      <c r="F36" s="269">
        <f>E12</f>
        <v>-9153</v>
      </c>
      <c r="G36" s="252">
        <f>SUM(G33:G35)</f>
        <v>-10450.240345</v>
      </c>
      <c r="H36" s="269">
        <f t="shared" ref="H36:I36" si="3">SUM(H33:H35)</f>
        <v>-3974.502974</v>
      </c>
      <c r="I36" s="252">
        <f t="shared" si="3"/>
        <v>-6012.6980099999992</v>
      </c>
      <c r="J36" s="269">
        <f>SUM(J33:J35)</f>
        <v>-7995.7919769999999</v>
      </c>
    </row>
    <row r="37" spans="2:10" ht="15" thickBot="1" x14ac:dyDescent="0.35">
      <c r="B37" s="193" t="s">
        <v>140</v>
      </c>
      <c r="C37" s="193" t="s">
        <v>140</v>
      </c>
      <c r="D37" s="194">
        <f>G19</f>
        <v>1596.6812519999976</v>
      </c>
      <c r="E37" s="195">
        <f>F19</f>
        <v>1113.5337209999998</v>
      </c>
      <c r="F37" s="194">
        <f>F36+F30+F31</f>
        <v>1077.5909999999992</v>
      </c>
      <c r="G37" s="195">
        <f>D19</f>
        <v>1249.0677110000006</v>
      </c>
      <c r="H37" s="194">
        <f t="shared" ref="H37:I37" si="4">+H32+H36</f>
        <v>289.49702600000001</v>
      </c>
      <c r="I37" s="195">
        <f t="shared" si="4"/>
        <v>1516.3019900000008</v>
      </c>
      <c r="J37" s="194">
        <f>+J32+J36</f>
        <v>2149.086601</v>
      </c>
    </row>
    <row r="40" spans="2:10" x14ac:dyDescent="0.3">
      <c r="B40" s="192" t="s">
        <v>326</v>
      </c>
      <c r="C40" s="192" t="s">
        <v>327</v>
      </c>
    </row>
    <row r="41" spans="2:10" x14ac:dyDescent="0.3">
      <c r="B41" s="153" t="s">
        <v>404</v>
      </c>
      <c r="C41" s="153" t="s">
        <v>323</v>
      </c>
      <c r="D41" s="196">
        <v>2016</v>
      </c>
      <c r="E41" s="196">
        <v>2017</v>
      </c>
      <c r="F41" s="196">
        <v>2018</v>
      </c>
      <c r="G41" s="196">
        <v>2019</v>
      </c>
      <c r="H41" s="196" t="s">
        <v>318</v>
      </c>
      <c r="I41" s="196" t="s">
        <v>320</v>
      </c>
      <c r="J41" s="196" t="s">
        <v>411</v>
      </c>
    </row>
    <row r="42" spans="2:10" hidden="1" outlineLevel="1" x14ac:dyDescent="0.3">
      <c r="B42" t="s">
        <v>399</v>
      </c>
      <c r="C42" t="s">
        <v>324</v>
      </c>
      <c r="D42" s="74">
        <f>G6</f>
        <v>1015.4943420000001</v>
      </c>
      <c r="E42" s="43">
        <f>F6</f>
        <v>837.77375500000005</v>
      </c>
      <c r="F42" s="74">
        <v>626.95699999999999</v>
      </c>
      <c r="G42" s="43">
        <v>2360.87</v>
      </c>
      <c r="H42" s="74"/>
      <c r="I42" s="43"/>
      <c r="J42" s="74"/>
    </row>
    <row r="43" spans="2:10" hidden="1" outlineLevel="1" x14ac:dyDescent="0.3">
      <c r="B43" t="s">
        <v>400</v>
      </c>
      <c r="D43" s="74"/>
      <c r="E43" s="43"/>
      <c r="F43" s="74">
        <v>0</v>
      </c>
      <c r="G43" s="43">
        <v>0.69199999999999995</v>
      </c>
      <c r="H43" s="74"/>
      <c r="I43" s="43"/>
      <c r="J43" s="74"/>
    </row>
    <row r="44" spans="2:10" collapsed="1" x14ac:dyDescent="0.3">
      <c r="B44" s="80" t="s">
        <v>270</v>
      </c>
      <c r="C44" s="80"/>
      <c r="D44" s="269">
        <f t="shared" ref="D44" si="5">+D42+D43</f>
        <v>1015.4943420000001</v>
      </c>
      <c r="E44" s="252">
        <f t="shared" ref="E44" si="6">+E42+E43</f>
        <v>837.77375500000005</v>
      </c>
      <c r="F44" s="269">
        <f>+F42+F43</f>
        <v>626.95699999999999</v>
      </c>
      <c r="G44" s="252">
        <f>+G42+G43</f>
        <v>2361.5619999999999</v>
      </c>
      <c r="H44" s="269">
        <v>854.14561300000003</v>
      </c>
      <c r="I44" s="252">
        <v>1824.9811460000001</v>
      </c>
      <c r="J44" s="269">
        <v>2593.4760820000001</v>
      </c>
    </row>
    <row r="45" spans="2:10" x14ac:dyDescent="0.3">
      <c r="B45" t="s">
        <v>170</v>
      </c>
      <c r="D45" s="74"/>
      <c r="E45" s="43"/>
      <c r="F45" s="74">
        <v>-164.44706500000001</v>
      </c>
      <c r="G45" s="43">
        <v>-492.32457199999999</v>
      </c>
      <c r="H45" s="74">
        <v>-138.552784</v>
      </c>
      <c r="I45" s="43">
        <v>-303.431939</v>
      </c>
      <c r="J45" s="74">
        <v>-460.72027300000002</v>
      </c>
    </row>
    <row r="46" spans="2:10" x14ac:dyDescent="0.3">
      <c r="B46" t="s">
        <v>144</v>
      </c>
      <c r="D46" s="74"/>
      <c r="E46" s="43"/>
      <c r="F46" s="74">
        <v>-72.527202000000003</v>
      </c>
      <c r="G46" s="43">
        <v>0</v>
      </c>
      <c r="H46" s="74">
        <v>0</v>
      </c>
      <c r="I46" s="43">
        <v>0</v>
      </c>
      <c r="J46" s="74">
        <v>-0.05</v>
      </c>
    </row>
    <row r="47" spans="2:10" x14ac:dyDescent="0.3">
      <c r="B47" t="s">
        <v>401</v>
      </c>
      <c r="D47" s="74"/>
      <c r="E47" s="43"/>
      <c r="F47" s="74">
        <v>42.755336999999997</v>
      </c>
      <c r="G47" s="43">
        <v>34.405726999999999</v>
      </c>
      <c r="H47" s="74">
        <v>9.9680420000000005</v>
      </c>
      <c r="I47" s="43">
        <v>24.179760000000002</v>
      </c>
      <c r="J47" s="74">
        <v>33.363067000000001</v>
      </c>
    </row>
    <row r="48" spans="2:10" ht="15" thickBot="1" x14ac:dyDescent="0.35">
      <c r="B48" s="80" t="s">
        <v>271</v>
      </c>
      <c r="C48" s="80" t="s">
        <v>325</v>
      </c>
      <c r="D48" s="269">
        <f>G13</f>
        <v>-302.82872500000002</v>
      </c>
      <c r="E48" s="252">
        <f>F13</f>
        <v>-280</v>
      </c>
      <c r="F48" s="269">
        <f>SUM(F45:F47)</f>
        <v>-194.21893</v>
      </c>
      <c r="G48" s="252">
        <f>SUM(G45:G47)</f>
        <v>-457.91884499999998</v>
      </c>
      <c r="H48" s="269">
        <f t="shared" ref="H48" si="7">SUM(H45:H47)</f>
        <v>-128.58474200000001</v>
      </c>
      <c r="I48" s="252">
        <f t="shared" ref="I48" si="8">SUM(I45:I47)</f>
        <v>-279.25217900000001</v>
      </c>
      <c r="J48" s="269">
        <f>SUM(J45:J47)</f>
        <v>-427.40720600000003</v>
      </c>
    </row>
    <row r="49" spans="2:10" ht="15" thickBot="1" x14ac:dyDescent="0.35">
      <c r="B49" s="193" t="s">
        <v>140</v>
      </c>
      <c r="C49" s="193" t="s">
        <v>140</v>
      </c>
      <c r="D49" s="194">
        <f>G20</f>
        <v>712.66561700000011</v>
      </c>
      <c r="E49" s="195">
        <f>F20</f>
        <v>557.77375500000005</v>
      </c>
      <c r="F49" s="194">
        <f>E20</f>
        <v>432.95699999999999</v>
      </c>
      <c r="G49" s="195">
        <f>D20</f>
        <v>1903.6441900000002</v>
      </c>
      <c r="H49" s="194">
        <f t="shared" ref="H49" si="9">+H44+H48</f>
        <v>725.56087100000002</v>
      </c>
      <c r="I49" s="195">
        <f t="shared" ref="I49" si="10">+I44+I48</f>
        <v>1545.728967</v>
      </c>
      <c r="J49" s="194">
        <f>+J44+J48</f>
        <v>2166.0688760000003</v>
      </c>
    </row>
    <row r="52" spans="2:10" x14ac:dyDescent="0.3">
      <c r="B52" s="192" t="s">
        <v>326</v>
      </c>
      <c r="C52" s="192" t="s">
        <v>327</v>
      </c>
    </row>
    <row r="53" spans="2:10" x14ac:dyDescent="0.3">
      <c r="B53" s="153" t="s">
        <v>266</v>
      </c>
      <c r="C53" s="153" t="s">
        <v>277</v>
      </c>
      <c r="D53" s="196">
        <v>2016</v>
      </c>
      <c r="E53" s="196">
        <v>2017</v>
      </c>
      <c r="F53" s="196">
        <v>2018</v>
      </c>
      <c r="G53" s="196">
        <v>2019</v>
      </c>
      <c r="H53" s="196" t="s">
        <v>318</v>
      </c>
      <c r="I53" s="196" t="s">
        <v>320</v>
      </c>
      <c r="J53" s="196" t="s">
        <v>411</v>
      </c>
    </row>
    <row r="54" spans="2:10" hidden="1" outlineLevel="1" x14ac:dyDescent="0.3">
      <c r="B54" t="s">
        <v>399</v>
      </c>
      <c r="C54" t="s">
        <v>324</v>
      </c>
      <c r="D54" s="74">
        <f>G7</f>
        <v>3897.1971610000001</v>
      </c>
      <c r="E54" s="43">
        <f>F7</f>
        <v>6216.3799730000001</v>
      </c>
      <c r="F54" s="74">
        <v>2975.777</v>
      </c>
      <c r="G54" s="43">
        <v>3978.8510000000001</v>
      </c>
      <c r="H54" s="74"/>
      <c r="I54" s="43"/>
      <c r="J54" s="74"/>
    </row>
    <row r="55" spans="2:10" hidden="1" outlineLevel="1" x14ac:dyDescent="0.3">
      <c r="B55" t="s">
        <v>400</v>
      </c>
      <c r="D55" s="74"/>
      <c r="E55" s="43"/>
      <c r="F55" s="74">
        <v>4605.91</v>
      </c>
      <c r="G55" s="43">
        <v>5579.36</v>
      </c>
      <c r="H55" s="74"/>
      <c r="I55" s="43"/>
      <c r="J55" s="74"/>
    </row>
    <row r="56" spans="2:10" collapsed="1" x14ac:dyDescent="0.3">
      <c r="B56" s="80" t="s">
        <v>270</v>
      </c>
      <c r="D56" s="269">
        <f t="shared" ref="D56" si="11">+D54+D55</f>
        <v>3897.1971610000001</v>
      </c>
      <c r="E56" s="252">
        <f t="shared" ref="E56" si="12">+E54+E55</f>
        <v>6216.3799730000001</v>
      </c>
      <c r="F56" s="269">
        <f>+F54+F55</f>
        <v>7581.6869999999999</v>
      </c>
      <c r="G56" s="252">
        <f>+G54+G55</f>
        <v>9558.2109999999993</v>
      </c>
      <c r="H56" s="269">
        <v>2378.663806</v>
      </c>
      <c r="I56" s="252">
        <v>5133.0467189999999</v>
      </c>
      <c r="J56" s="269">
        <v>7833.4781130000001</v>
      </c>
    </row>
    <row r="57" spans="2:10" x14ac:dyDescent="0.3">
      <c r="B57" t="s">
        <v>170</v>
      </c>
      <c r="D57" s="74"/>
      <c r="E57" s="43"/>
      <c r="F57" s="74">
        <v>-4926.3543970000001</v>
      </c>
      <c r="G57" s="43">
        <v>-5747.9749039999997</v>
      </c>
      <c r="H57" s="74">
        <v>-1550.3812869999999</v>
      </c>
      <c r="I57" s="43">
        <v>-3561.4153489999999</v>
      </c>
      <c r="J57" s="74">
        <v>-5559.0838880000001</v>
      </c>
    </row>
    <row r="58" spans="2:10" x14ac:dyDescent="0.3">
      <c r="B58" t="s">
        <v>144</v>
      </c>
      <c r="D58" s="74"/>
      <c r="E58" s="43"/>
      <c r="F58" s="74">
        <v>-1611.2658750000001</v>
      </c>
      <c r="G58" s="43">
        <v>-1942.7011560000001</v>
      </c>
      <c r="H58" s="74">
        <v>-574.42467299999998</v>
      </c>
      <c r="I58" s="43">
        <v>-1162.7612449999999</v>
      </c>
      <c r="J58" s="74">
        <v>-1774.268904</v>
      </c>
    </row>
    <row r="59" spans="2:10" x14ac:dyDescent="0.3">
      <c r="B59" t="s">
        <v>401</v>
      </c>
      <c r="D59" s="74"/>
      <c r="E59" s="43"/>
      <c r="F59" s="74">
        <v>212.96696299999999</v>
      </c>
      <c r="G59" s="43">
        <v>-54.346029000000001</v>
      </c>
      <c r="H59" s="74">
        <v>-8.2325999999999996E-2</v>
      </c>
      <c r="I59" s="43">
        <v>5.0787420000000001</v>
      </c>
      <c r="J59" s="74">
        <v>6.2236789999999997</v>
      </c>
    </row>
    <row r="60" spans="2:10" ht="15" thickBot="1" x14ac:dyDescent="0.35">
      <c r="B60" s="80" t="s">
        <v>271</v>
      </c>
      <c r="C60" s="80" t="s">
        <v>325</v>
      </c>
      <c r="D60" s="269">
        <f>G14</f>
        <v>-3133.6149570000002</v>
      </c>
      <c r="E60" s="252">
        <f>F14</f>
        <v>-5049</v>
      </c>
      <c r="F60" s="269">
        <f>SUM(F57:F59)</f>
        <v>-6324.6533090000003</v>
      </c>
      <c r="G60" s="252">
        <f>SUM(G57:G59)</f>
        <v>-7745.0220890000001</v>
      </c>
      <c r="H60" s="269">
        <f t="shared" ref="H60" si="13">SUM(H57:H59)</f>
        <v>-2124.8882859999999</v>
      </c>
      <c r="I60" s="252">
        <f t="shared" ref="I60" si="14">SUM(I57:I59)</f>
        <v>-4719.0978519999999</v>
      </c>
      <c r="J60" s="269">
        <f>SUM(J57:J59)</f>
        <v>-7327.129113</v>
      </c>
    </row>
    <row r="61" spans="2:10" ht="15" thickBot="1" x14ac:dyDescent="0.35">
      <c r="B61" s="193" t="s">
        <v>140</v>
      </c>
      <c r="C61" s="193" t="s">
        <v>140</v>
      </c>
      <c r="D61" s="194">
        <f>G21</f>
        <v>763.58220399999982</v>
      </c>
      <c r="E61" s="195">
        <f>F21</f>
        <v>1167.3799730000001</v>
      </c>
      <c r="F61" s="194">
        <f>E21</f>
        <v>1256.6869999999999</v>
      </c>
      <c r="G61" s="195">
        <f>D21</f>
        <v>1813.1889260000007</v>
      </c>
      <c r="H61" s="194">
        <f t="shared" ref="H61" si="15">+H56+H60</f>
        <v>253.77552000000014</v>
      </c>
      <c r="I61" s="195">
        <f t="shared" ref="I61" si="16">+I56+I60</f>
        <v>413.94886700000006</v>
      </c>
      <c r="J61" s="194">
        <f>+J56+J60</f>
        <v>506.34900000000016</v>
      </c>
    </row>
    <row r="64" spans="2:10" x14ac:dyDescent="0.3">
      <c r="B64" s="192" t="s">
        <v>326</v>
      </c>
      <c r="C64" s="192" t="s">
        <v>327</v>
      </c>
      <c r="F64">
        <v>978</v>
      </c>
      <c r="G64" t="s">
        <v>415</v>
      </c>
    </row>
    <row r="65" spans="2:10" x14ac:dyDescent="0.3">
      <c r="B65" s="153" t="s">
        <v>267</v>
      </c>
      <c r="C65" s="153" t="s">
        <v>330</v>
      </c>
      <c r="D65" s="196">
        <v>2016</v>
      </c>
      <c r="E65" s="196">
        <v>2017</v>
      </c>
      <c r="F65" s="196">
        <v>2018</v>
      </c>
      <c r="G65" s="196">
        <v>2019</v>
      </c>
      <c r="H65" s="196" t="s">
        <v>318</v>
      </c>
      <c r="I65" s="196" t="s">
        <v>320</v>
      </c>
      <c r="J65" s="196" t="s">
        <v>411</v>
      </c>
    </row>
    <row r="66" spans="2:10" outlineLevel="1" x14ac:dyDescent="0.3">
      <c r="B66" t="s">
        <v>399</v>
      </c>
      <c r="C66" t="s">
        <v>324</v>
      </c>
      <c r="D66" s="74">
        <f>G8</f>
        <v>3091.856252</v>
      </c>
      <c r="E66" s="43">
        <f>F8</f>
        <v>5120.8255200000003</v>
      </c>
      <c r="F66" s="74">
        <v>5965.7740000000003</v>
      </c>
      <c r="G66" s="43">
        <v>8921.6</v>
      </c>
      <c r="H66" s="74"/>
      <c r="I66" s="43"/>
      <c r="J66" s="74"/>
    </row>
    <row r="67" spans="2:10" outlineLevel="1" x14ac:dyDescent="0.3">
      <c r="B67" t="s">
        <v>416</v>
      </c>
      <c r="D67" s="74"/>
      <c r="E67" s="43"/>
      <c r="F67" s="74">
        <v>977.71500000000003</v>
      </c>
      <c r="G67" s="43">
        <v>979.83299999999997</v>
      </c>
      <c r="H67" s="74"/>
      <c r="I67" s="43"/>
      <c r="J67" s="74"/>
    </row>
    <row r="68" spans="2:10" x14ac:dyDescent="0.3">
      <c r="B68" s="80" t="s">
        <v>270</v>
      </c>
      <c r="D68" s="269">
        <f t="shared" ref="D68" si="17">+D66+D67</f>
        <v>3091.856252</v>
      </c>
      <c r="E68" s="252">
        <f t="shared" ref="E68" si="18">+E66+E67</f>
        <v>5120.8255200000003</v>
      </c>
      <c r="F68" s="269">
        <f>+F66+F67</f>
        <v>6943.4890000000005</v>
      </c>
      <c r="G68" s="252">
        <f>+G66+G67</f>
        <v>9901.4330000000009</v>
      </c>
      <c r="H68" s="269">
        <v>3446.5788940000002</v>
      </c>
      <c r="I68" s="252">
        <v>5652.4070730000003</v>
      </c>
      <c r="J68" s="269">
        <v>8533.2410319999999</v>
      </c>
    </row>
    <row r="69" spans="2:10" x14ac:dyDescent="0.3">
      <c r="B69" t="s">
        <v>170</v>
      </c>
      <c r="D69" s="74"/>
      <c r="E69" s="43"/>
      <c r="F69" s="74">
        <v>-6625.7435009999999</v>
      </c>
      <c r="G69" s="43">
        <v>-9243.950073</v>
      </c>
      <c r="H69" s="74">
        <v>-3314.2955400000001</v>
      </c>
      <c r="I69" s="43">
        <v>-5532.8304660000003</v>
      </c>
      <c r="J69" s="74">
        <v>-8231.5403619999997</v>
      </c>
    </row>
    <row r="70" spans="2:10" x14ac:dyDescent="0.3">
      <c r="B70" t="s">
        <v>144</v>
      </c>
      <c r="D70" s="74"/>
      <c r="E70" s="43"/>
      <c r="F70" s="74">
        <v>-53.205722000000002</v>
      </c>
      <c r="G70" s="43">
        <v>-78.573042000000001</v>
      </c>
      <c r="H70" s="74">
        <v>-24.565386</v>
      </c>
      <c r="I70" s="43">
        <v>-49.268940000000001</v>
      </c>
      <c r="J70" s="74">
        <v>-74.319208000000003</v>
      </c>
    </row>
    <row r="71" spans="2:10" x14ac:dyDescent="0.3">
      <c r="B71" t="s">
        <v>401</v>
      </c>
      <c r="D71" s="74"/>
      <c r="E71" s="43"/>
      <c r="F71" s="74">
        <v>18.060008</v>
      </c>
      <c r="G71" s="43">
        <v>5.6130319999999996</v>
      </c>
      <c r="H71" s="74">
        <v>-0.87495999999999996</v>
      </c>
      <c r="I71" s="43">
        <v>26.004546000000001</v>
      </c>
      <c r="J71" s="74">
        <v>47.860207000000003</v>
      </c>
    </row>
    <row r="72" spans="2:10" ht="15" thickBot="1" x14ac:dyDescent="0.35">
      <c r="B72" s="80" t="s">
        <v>271</v>
      </c>
      <c r="C72" t="s">
        <v>325</v>
      </c>
      <c r="D72" s="269">
        <f>G15</f>
        <v>-2966.2490310000003</v>
      </c>
      <c r="E72" s="252">
        <f>F15</f>
        <v>-5262</v>
      </c>
      <c r="F72" s="269">
        <f>E15</f>
        <v>-6661</v>
      </c>
      <c r="G72" s="252">
        <f>D15</f>
        <v>-9316.9100830000007</v>
      </c>
      <c r="H72" s="269">
        <f t="shared" ref="H72" si="19">SUM(H69:H71)</f>
        <v>-3339.7358860000004</v>
      </c>
      <c r="I72" s="252">
        <f t="shared" ref="I72" si="20">SUM(I69:I71)</f>
        <v>-5556.0948600000002</v>
      </c>
      <c r="J72" s="269">
        <f>SUM(J69:J71)</f>
        <v>-8257.9993630000008</v>
      </c>
    </row>
    <row r="73" spans="2:10" ht="15" thickBot="1" x14ac:dyDescent="0.35">
      <c r="B73" s="193" t="s">
        <v>140</v>
      </c>
      <c r="C73" s="193" t="s">
        <v>140</v>
      </c>
      <c r="D73" s="194">
        <f>G22</f>
        <v>125.60722099999975</v>
      </c>
      <c r="E73" s="195">
        <f>F22</f>
        <v>-141.17447999999968</v>
      </c>
      <c r="F73" s="194">
        <f>E22</f>
        <v>282.48899999999958</v>
      </c>
      <c r="G73" s="195">
        <f>D22</f>
        <v>584.52300100000025</v>
      </c>
      <c r="H73" s="194">
        <f t="shared" ref="H73" si="21">+H68+H72</f>
        <v>106.84300799999983</v>
      </c>
      <c r="I73" s="195">
        <f t="shared" ref="I73" si="22">+I68+I72</f>
        <v>96.312213000000156</v>
      </c>
      <c r="J73" s="194">
        <f>+J68+J72</f>
        <v>275.24166899999909</v>
      </c>
    </row>
    <row r="76" spans="2:10" x14ac:dyDescent="0.3">
      <c r="B76" s="192" t="s">
        <v>326</v>
      </c>
      <c r="C76" s="192" t="s">
        <v>327</v>
      </c>
    </row>
    <row r="77" spans="2:10" x14ac:dyDescent="0.3">
      <c r="B77" s="153" t="s">
        <v>268</v>
      </c>
      <c r="C77" s="153" t="s">
        <v>279</v>
      </c>
      <c r="D77" s="196">
        <v>2016</v>
      </c>
      <c r="E77" s="196">
        <v>2017</v>
      </c>
      <c r="F77" s="196">
        <v>2018</v>
      </c>
      <c r="G77" s="196">
        <v>2019</v>
      </c>
      <c r="H77" s="196" t="s">
        <v>318</v>
      </c>
      <c r="I77" s="196" t="s">
        <v>320</v>
      </c>
      <c r="J77" s="196" t="s">
        <v>411</v>
      </c>
    </row>
    <row r="78" spans="2:10" hidden="1" outlineLevel="1" x14ac:dyDescent="0.3">
      <c r="B78" t="s">
        <v>399</v>
      </c>
      <c r="C78" t="s">
        <v>324</v>
      </c>
      <c r="D78" s="74">
        <f>G9</f>
        <v>729.72434799999996</v>
      </c>
      <c r="E78" s="270">
        <f>F9</f>
        <v>346</v>
      </c>
      <c r="F78" s="74">
        <v>221.477</v>
      </c>
      <c r="G78" s="43">
        <v>6.9320000000000004</v>
      </c>
      <c r="H78" s="74"/>
      <c r="I78" s="43"/>
      <c r="J78" s="74"/>
    </row>
    <row r="79" spans="2:10" hidden="1" outlineLevel="1" x14ac:dyDescent="0.3">
      <c r="B79" t="s">
        <v>400</v>
      </c>
      <c r="D79" s="74"/>
      <c r="E79" s="270"/>
      <c r="F79" s="74">
        <v>125.48699999999999</v>
      </c>
      <c r="G79" s="43">
        <v>409.13400000000001</v>
      </c>
      <c r="H79" s="74"/>
      <c r="I79" s="43"/>
      <c r="J79" s="74"/>
    </row>
    <row r="80" spans="2:10" collapsed="1" x14ac:dyDescent="0.3">
      <c r="B80" s="80" t="s">
        <v>270</v>
      </c>
      <c r="C80" s="80"/>
      <c r="D80" s="269">
        <f t="shared" ref="D80" si="23">+D78+D79</f>
        <v>729.72434799999996</v>
      </c>
      <c r="E80" s="271">
        <f t="shared" ref="E80" si="24">+E78+E79</f>
        <v>346</v>
      </c>
      <c r="F80" s="269">
        <f>+F78+F79</f>
        <v>346.964</v>
      </c>
      <c r="G80" s="252">
        <f>+G78+G79</f>
        <v>416.06600000000003</v>
      </c>
      <c r="H80" s="269">
        <v>110.49514000000001</v>
      </c>
      <c r="I80" s="252">
        <v>221.013226</v>
      </c>
      <c r="J80" s="269">
        <v>333.48622399999999</v>
      </c>
    </row>
    <row r="81" spans="2:10" x14ac:dyDescent="0.3">
      <c r="B81" t="s">
        <v>170</v>
      </c>
      <c r="D81" s="74"/>
      <c r="E81" s="270"/>
      <c r="F81" s="74">
        <v>-545.43949399999997</v>
      </c>
      <c r="G81" s="43">
        <v>-562.53912200000002</v>
      </c>
      <c r="H81" s="74">
        <v>-133.44007199999999</v>
      </c>
      <c r="I81" s="43">
        <v>-266.31390399999998</v>
      </c>
      <c r="J81" s="74">
        <v>-410.08936499999999</v>
      </c>
    </row>
    <row r="82" spans="2:10" x14ac:dyDescent="0.3">
      <c r="B82" t="s">
        <v>144</v>
      </c>
      <c r="D82" s="74"/>
      <c r="E82" s="270"/>
      <c r="F82" s="74">
        <v>-800.27737200000001</v>
      </c>
      <c r="G82" s="43">
        <v>-833.96138099999996</v>
      </c>
      <c r="H82" s="74">
        <v>-188.444489</v>
      </c>
      <c r="I82" s="43">
        <v>-389.40213799999998</v>
      </c>
      <c r="J82" s="74">
        <v>-590.78126699999996</v>
      </c>
    </row>
    <row r="83" spans="2:10" x14ac:dyDescent="0.3">
      <c r="B83" t="s">
        <v>401</v>
      </c>
      <c r="D83" s="74"/>
      <c r="E83" s="270"/>
      <c r="F83" s="74">
        <v>-10.379951</v>
      </c>
      <c r="G83" s="43">
        <v>-10.551583000000001</v>
      </c>
      <c r="H83" s="74">
        <v>-4.3826599999999996</v>
      </c>
      <c r="I83" s="43">
        <v>-0.286798</v>
      </c>
      <c r="J83" s="74">
        <v>-1.431473</v>
      </c>
    </row>
    <row r="84" spans="2:10" ht="15" thickBot="1" x14ac:dyDescent="0.35">
      <c r="B84" s="80" t="s">
        <v>271</v>
      </c>
      <c r="C84" s="80" t="s">
        <v>325</v>
      </c>
      <c r="D84" s="269">
        <f>G16</f>
        <v>-1614.6495629999999</v>
      </c>
      <c r="E84" s="271">
        <f>F16</f>
        <v>-1079</v>
      </c>
      <c r="F84" s="269">
        <f>E16</f>
        <v>-1355</v>
      </c>
      <c r="G84" s="252">
        <f>D16</f>
        <v>-1407.0520859999999</v>
      </c>
      <c r="H84" s="269">
        <f t="shared" ref="H84" si="25">SUM(H81:H83)</f>
        <v>-326.26722099999995</v>
      </c>
      <c r="I84" s="252">
        <f t="shared" ref="I84" si="26">SUM(I81:I83)</f>
        <v>-656.00283999999999</v>
      </c>
      <c r="J84" s="269">
        <f>SUM(J81:J83)</f>
        <v>-1002.3021049999999</v>
      </c>
    </row>
    <row r="85" spans="2:10" ht="15" thickBot="1" x14ac:dyDescent="0.35">
      <c r="B85" s="193" t="s">
        <v>140</v>
      </c>
      <c r="C85" s="193" t="s">
        <v>140</v>
      </c>
      <c r="D85" s="194">
        <f>G23</f>
        <v>-884.92521499999998</v>
      </c>
      <c r="E85" s="272">
        <f>F23</f>
        <v>-733</v>
      </c>
      <c r="F85" s="194">
        <f>E23</f>
        <v>-1008.037</v>
      </c>
      <c r="G85" s="195">
        <f>D23</f>
        <v>-990.98664500000007</v>
      </c>
      <c r="H85" s="194">
        <f t="shared" ref="H85" si="27">+H80+H84</f>
        <v>-215.77208099999996</v>
      </c>
      <c r="I85" s="195">
        <f t="shared" ref="I85" si="28">+I80+I84</f>
        <v>-434.98961399999996</v>
      </c>
      <c r="J85" s="194">
        <f>+J80+J84</f>
        <v>-668.81588099999988</v>
      </c>
    </row>
    <row r="88" spans="2:10" x14ac:dyDescent="0.3">
      <c r="B88" s="192" t="s">
        <v>326</v>
      </c>
      <c r="C88" s="192" t="s">
        <v>327</v>
      </c>
    </row>
    <row r="89" spans="2:10" x14ac:dyDescent="0.3">
      <c r="B89" s="153" t="s">
        <v>331</v>
      </c>
      <c r="C89" s="153" t="s">
        <v>334</v>
      </c>
      <c r="D89" s="196">
        <v>2016</v>
      </c>
      <c r="E89" s="196">
        <v>2017</v>
      </c>
      <c r="F89" s="196">
        <v>2018</v>
      </c>
      <c r="G89" s="196">
        <v>2019</v>
      </c>
      <c r="H89" s="196" t="s">
        <v>318</v>
      </c>
      <c r="I89" s="196" t="s">
        <v>320</v>
      </c>
      <c r="J89" s="196" t="s">
        <v>411</v>
      </c>
    </row>
    <row r="90" spans="2:10" x14ac:dyDescent="0.3">
      <c r="B90" t="s">
        <v>270</v>
      </c>
      <c r="C90" t="s">
        <v>324</v>
      </c>
      <c r="D90" s="74">
        <f>D78+D66+D54+D42+D30</f>
        <v>17025.288221000003</v>
      </c>
      <c r="E90" s="270">
        <f>E78+E66+E54+E42+E30</f>
        <v>22078.512969000003</v>
      </c>
      <c r="F90" s="74">
        <f>F78+F66+F54+F42+F30</f>
        <v>18685.767</v>
      </c>
      <c r="G90" s="43">
        <f>G78+G66+G54+G42+G30</f>
        <v>25573.35</v>
      </c>
      <c r="H90" s="74">
        <f t="shared" ref="H90:I90" si="29">H80+H68+H56+H44+H32</f>
        <v>11053.883452999999</v>
      </c>
      <c r="I90" s="43">
        <f t="shared" si="29"/>
        <v>20360.448164000001</v>
      </c>
      <c r="J90" s="74">
        <f>J80+J68+J56+J44+J32</f>
        <v>29438.560029</v>
      </c>
    </row>
    <row r="91" spans="2:10" ht="15" thickBot="1" x14ac:dyDescent="0.35">
      <c r="B91" t="s">
        <v>271</v>
      </c>
      <c r="C91" t="s">
        <v>325</v>
      </c>
      <c r="D91" s="74">
        <f t="shared" ref="D91:G92" si="30">D84+D72+D60+D48+D36</f>
        <v>-14711.677142000002</v>
      </c>
      <c r="E91" s="270">
        <f t="shared" si="30"/>
        <v>-20114</v>
      </c>
      <c r="F91" s="74">
        <f t="shared" si="30"/>
        <v>-23687.872239</v>
      </c>
      <c r="G91" s="43">
        <f t="shared" si="30"/>
        <v>-29377.143448000003</v>
      </c>
      <c r="H91" s="74">
        <f t="shared" ref="H91:J91" si="31">H84+H72+H60+H48+H36</f>
        <v>-9893.9791089999999</v>
      </c>
      <c r="I91" s="43">
        <f t="shared" si="31"/>
        <v>-17223.145741</v>
      </c>
      <c r="J91" s="74">
        <f t="shared" si="31"/>
        <v>-25010.629764000001</v>
      </c>
    </row>
    <row r="92" spans="2:10" ht="15" thickBot="1" x14ac:dyDescent="0.35">
      <c r="B92" s="193" t="s">
        <v>140</v>
      </c>
      <c r="C92" s="193" t="s">
        <v>140</v>
      </c>
      <c r="D92" s="194">
        <f t="shared" si="30"/>
        <v>2313.6110789999975</v>
      </c>
      <c r="E92" s="272">
        <f t="shared" si="30"/>
        <v>1964.5129690000003</v>
      </c>
      <c r="F92" s="194">
        <f t="shared" si="30"/>
        <v>2041.6869999999985</v>
      </c>
      <c r="G92" s="195">
        <f t="shared" si="30"/>
        <v>4559.4371830000018</v>
      </c>
      <c r="H92" s="194">
        <f t="shared" ref="H92:J92" si="32">H85+H73+H61+H49+H37</f>
        <v>1159.904344</v>
      </c>
      <c r="I92" s="272">
        <f t="shared" si="32"/>
        <v>3137.302423000001</v>
      </c>
      <c r="J92" s="194">
        <f t="shared" si="32"/>
        <v>4427.9302649999991</v>
      </c>
    </row>
    <row r="95" spans="2:10" x14ac:dyDescent="0.3">
      <c r="B95" s="192" t="s">
        <v>326</v>
      </c>
      <c r="C95" s="192" t="s">
        <v>327</v>
      </c>
    </row>
    <row r="96" spans="2:10" x14ac:dyDescent="0.3">
      <c r="B96" s="153" t="s">
        <v>332</v>
      </c>
      <c r="C96" s="153" t="s">
        <v>333</v>
      </c>
      <c r="D96" s="196">
        <v>2016</v>
      </c>
      <c r="E96" s="196">
        <v>2017</v>
      </c>
      <c r="F96" s="196">
        <v>2018</v>
      </c>
      <c r="G96" s="196">
        <v>2019</v>
      </c>
      <c r="H96" s="196" t="s">
        <v>318</v>
      </c>
      <c r="I96" s="196" t="s">
        <v>320</v>
      </c>
      <c r="J96" s="196" t="s">
        <v>411</v>
      </c>
    </row>
    <row r="97" spans="2:10" x14ac:dyDescent="0.3">
      <c r="B97" t="s">
        <v>270</v>
      </c>
      <c r="C97" t="s">
        <v>324</v>
      </c>
      <c r="D97" s="74">
        <f>D90+G10</f>
        <v>13948.218707000004</v>
      </c>
      <c r="E97" s="270">
        <f>E90+F10</f>
        <v>18388.512969000003</v>
      </c>
      <c r="F97" s="74">
        <f>F90+E10</f>
        <v>11641.846999999998</v>
      </c>
      <c r="G97" s="43">
        <f>G90+D10</f>
        <v>17210.119619999998</v>
      </c>
      <c r="H97" s="74"/>
      <c r="I97" s="43"/>
      <c r="J97" s="74"/>
    </row>
    <row r="98" spans="2:10" ht="15" thickBot="1" x14ac:dyDescent="0.35">
      <c r="B98" t="s">
        <v>271</v>
      </c>
      <c r="C98" t="s">
        <v>325</v>
      </c>
      <c r="D98" s="74">
        <f>D91+G17</f>
        <v>-11634.632559000001</v>
      </c>
      <c r="E98" s="270">
        <f>E91+F17</f>
        <v>-16437</v>
      </c>
      <c r="F98" s="74">
        <f>F91+E17</f>
        <v>-16884.952238999998</v>
      </c>
      <c r="G98" s="43">
        <f>G91+D17</f>
        <v>-21794.169355000005</v>
      </c>
      <c r="H98" s="74"/>
      <c r="I98" s="43"/>
      <c r="J98" s="74"/>
    </row>
    <row r="99" spans="2:10" ht="15" thickBot="1" x14ac:dyDescent="0.35">
      <c r="B99" s="193" t="s">
        <v>140</v>
      </c>
      <c r="C99" s="193" t="s">
        <v>140</v>
      </c>
      <c r="D99" s="194">
        <f>D92+G24</f>
        <v>2313.586147999998</v>
      </c>
      <c r="E99" s="272">
        <f>E92+F24</f>
        <v>1951.5129690000003</v>
      </c>
      <c r="F99" s="194">
        <f>F92+E24</f>
        <v>1800.6869999999985</v>
      </c>
      <c r="G99" s="195">
        <f>G92+D24</f>
        <v>3779.1808960000008</v>
      </c>
      <c r="H99" s="194"/>
      <c r="I99" s="272"/>
      <c r="J99" s="19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41229-50A7-4DE0-B8F3-1505BE2193FF}">
  <dimension ref="A1:F72"/>
  <sheetViews>
    <sheetView topLeftCell="A28" zoomScale="70" zoomScaleNormal="70" workbookViewId="0">
      <selection activeCell="F28" sqref="F28:F72"/>
    </sheetView>
  </sheetViews>
  <sheetFormatPr defaultRowHeight="14.4" outlineLevelCol="1" x14ac:dyDescent="0.3"/>
  <cols>
    <col min="1" max="1" width="37.109375" bestFit="1" customWidth="1"/>
    <col min="2" max="2" width="29.88671875" hidden="1" customWidth="1" outlineLevel="1"/>
    <col min="3" max="3" width="29.88671875" customWidth="1" collapsed="1"/>
    <col min="4" max="5" width="29.88671875" customWidth="1"/>
    <col min="6" max="6" width="34.33203125" customWidth="1"/>
  </cols>
  <sheetData>
    <row r="1" spans="1:6" x14ac:dyDescent="0.3">
      <c r="C1" s="63">
        <v>44012</v>
      </c>
      <c r="D1" s="191">
        <v>43646</v>
      </c>
      <c r="E1" s="63">
        <v>43281</v>
      </c>
      <c r="F1" s="62">
        <v>42916</v>
      </c>
    </row>
    <row r="2" spans="1:6" x14ac:dyDescent="0.3">
      <c r="A2" s="65" t="s">
        <v>272</v>
      </c>
      <c r="B2" s="65"/>
      <c r="C2" s="67" t="s">
        <v>263</v>
      </c>
      <c r="D2" s="66" t="s">
        <v>263</v>
      </c>
      <c r="E2" s="67" t="s">
        <v>263</v>
      </c>
      <c r="F2" s="66" t="s">
        <v>263</v>
      </c>
    </row>
    <row r="3" spans="1:6" ht="27.6" x14ac:dyDescent="0.3">
      <c r="A3" s="69" t="s">
        <v>264</v>
      </c>
      <c r="B3" s="73" t="s">
        <v>275</v>
      </c>
      <c r="C3" s="71">
        <v>7529.115777</v>
      </c>
      <c r="D3" s="70">
        <v>8408</v>
      </c>
      <c r="E3" s="71">
        <v>10230.591</v>
      </c>
      <c r="F3" s="70">
        <v>9557.5337209999998</v>
      </c>
    </row>
    <row r="4" spans="1:6" ht="27.6" x14ac:dyDescent="0.3">
      <c r="A4" s="73" t="s">
        <v>265</v>
      </c>
      <c r="B4" s="73" t="s">
        <v>276</v>
      </c>
      <c r="C4" s="43">
        <v>1824.9811460000001</v>
      </c>
      <c r="D4" s="74">
        <v>1594</v>
      </c>
      <c r="E4" s="43">
        <v>626.95699999999999</v>
      </c>
      <c r="F4" s="74">
        <v>837.77375500000005</v>
      </c>
    </row>
    <row r="5" spans="1:6" x14ac:dyDescent="0.3">
      <c r="A5" s="73" t="s">
        <v>266</v>
      </c>
      <c r="B5" s="73" t="s">
        <v>277</v>
      </c>
      <c r="C5" s="43">
        <v>5133.0467189999999</v>
      </c>
      <c r="D5" s="74">
        <v>7841</v>
      </c>
      <c r="E5" s="43">
        <v>7581.6869999999999</v>
      </c>
      <c r="F5" s="74">
        <v>6216.3799730000001</v>
      </c>
    </row>
    <row r="6" spans="1:6" x14ac:dyDescent="0.3">
      <c r="A6" s="73" t="s">
        <v>267</v>
      </c>
      <c r="B6" s="73" t="s">
        <v>278</v>
      </c>
      <c r="C6" s="43">
        <v>5652.4070730000003</v>
      </c>
      <c r="D6" s="74">
        <v>7038</v>
      </c>
      <c r="E6" s="43">
        <v>6943.4889999999996</v>
      </c>
      <c r="F6" s="74">
        <v>5120.8255200000003</v>
      </c>
    </row>
    <row r="7" spans="1:6" x14ac:dyDescent="0.3">
      <c r="A7" s="73" t="s">
        <v>268</v>
      </c>
      <c r="B7" s="73" t="s">
        <v>279</v>
      </c>
      <c r="C7" s="43">
        <v>221.013226</v>
      </c>
      <c r="D7" s="74">
        <v>303</v>
      </c>
      <c r="E7" s="43">
        <v>346.96300000000002</v>
      </c>
      <c r="F7" s="74">
        <v>346</v>
      </c>
    </row>
    <row r="8" spans="1:6" ht="15" thickBot="1" x14ac:dyDescent="0.35">
      <c r="A8" s="73" t="s">
        <v>269</v>
      </c>
      <c r="B8" s="73"/>
      <c r="C8" s="43">
        <v>-4197.0369069999997</v>
      </c>
      <c r="D8" s="74">
        <v>-7189</v>
      </c>
      <c r="E8" s="43">
        <v>-7043.9200000000019</v>
      </c>
      <c r="F8" s="74">
        <v>-3690</v>
      </c>
    </row>
    <row r="9" spans="1:6" ht="15" thickBot="1" x14ac:dyDescent="0.35">
      <c r="A9" s="76" t="s">
        <v>270</v>
      </c>
      <c r="B9" s="76"/>
      <c r="C9" s="78">
        <v>16163.527034000001</v>
      </c>
      <c r="D9" s="77">
        <f>SUM(D3:D8)</f>
        <v>17995</v>
      </c>
      <c r="E9" s="78">
        <v>18685.767</v>
      </c>
      <c r="F9" s="77">
        <v>18388.512969000003</v>
      </c>
    </row>
    <row r="10" spans="1:6" ht="27.6" x14ac:dyDescent="0.3">
      <c r="A10" s="73" t="s">
        <v>264</v>
      </c>
      <c r="B10" s="73"/>
      <c r="C10" s="43">
        <v>-6012.6980099999992</v>
      </c>
      <c r="D10" s="74">
        <v>-7250</v>
      </c>
      <c r="E10" s="43">
        <v>-9153</v>
      </c>
      <c r="F10" s="74">
        <v>-8444</v>
      </c>
    </row>
    <row r="11" spans="1:6" ht="27.6" x14ac:dyDescent="0.3">
      <c r="A11" s="73" t="s">
        <v>265</v>
      </c>
      <c r="B11" s="73"/>
      <c r="C11" s="43">
        <v>-279.25217900000001</v>
      </c>
      <c r="D11" s="74">
        <v>-324</v>
      </c>
      <c r="E11" s="43">
        <v>-194</v>
      </c>
      <c r="F11" s="74">
        <v>-280</v>
      </c>
    </row>
    <row r="12" spans="1:6" x14ac:dyDescent="0.3">
      <c r="A12" s="73" t="s">
        <v>266</v>
      </c>
      <c r="B12" s="73"/>
      <c r="C12" s="43">
        <v>-4719.0978519999999</v>
      </c>
      <c r="D12" s="74">
        <v>-6285</v>
      </c>
      <c r="E12" s="43">
        <v>-6325</v>
      </c>
      <c r="F12" s="74">
        <v>-5049</v>
      </c>
    </row>
    <row r="13" spans="1:6" x14ac:dyDescent="0.3">
      <c r="A13" s="73" t="s">
        <v>267</v>
      </c>
      <c r="B13" s="73"/>
      <c r="C13" s="43">
        <v>-5556.0948600000002</v>
      </c>
      <c r="D13" s="74">
        <v>-6684</v>
      </c>
      <c r="E13" s="43">
        <v>-6661</v>
      </c>
      <c r="F13" s="74">
        <v>-5262</v>
      </c>
    </row>
    <row r="14" spans="1:6" x14ac:dyDescent="0.3">
      <c r="A14" s="73" t="s">
        <v>268</v>
      </c>
      <c r="B14" s="73"/>
      <c r="C14" s="43">
        <v>-656.00283999999999</v>
      </c>
      <c r="D14" s="74">
        <v>-1018</v>
      </c>
      <c r="E14" s="43">
        <v>-1355</v>
      </c>
      <c r="F14" s="74">
        <v>-1079</v>
      </c>
    </row>
    <row r="15" spans="1:6" ht="15" thickBot="1" x14ac:dyDescent="0.35">
      <c r="A15" s="73" t="s">
        <v>269</v>
      </c>
      <c r="B15" s="73"/>
      <c r="C15" s="43">
        <v>4196.9958829999996</v>
      </c>
      <c r="D15" s="74">
        <v>6365</v>
      </c>
      <c r="E15" s="43">
        <v>6802.9200000000019</v>
      </c>
      <c r="F15" s="74">
        <v>3677</v>
      </c>
    </row>
    <row r="16" spans="1:6" ht="15" thickBot="1" x14ac:dyDescent="0.35">
      <c r="A16" s="76" t="s">
        <v>271</v>
      </c>
      <c r="B16" s="76"/>
      <c r="C16" s="78">
        <v>-13026.149858000001</v>
      </c>
      <c r="D16" s="77">
        <f>SUM(D10:D15)</f>
        <v>-15196</v>
      </c>
      <c r="E16" s="78">
        <v>-16885.079999999998</v>
      </c>
      <c r="F16" s="77">
        <v>-16437</v>
      </c>
    </row>
    <row r="17" spans="1:6" ht="27.6" x14ac:dyDescent="0.3">
      <c r="A17" s="73" t="s">
        <v>264</v>
      </c>
      <c r="B17" s="73" t="s">
        <v>275</v>
      </c>
      <c r="C17" s="43">
        <v>1516.4177670000004</v>
      </c>
      <c r="D17" s="74">
        <v>1158</v>
      </c>
      <c r="E17" s="43">
        <v>1077.5910000000003</v>
      </c>
      <c r="F17" s="74">
        <v>1113.5337209999998</v>
      </c>
    </row>
    <row r="18" spans="1:6" ht="27.6" x14ac:dyDescent="0.3">
      <c r="A18" s="73" t="s">
        <v>265</v>
      </c>
      <c r="B18" s="73" t="s">
        <v>276</v>
      </c>
      <c r="C18" s="43">
        <v>1545.728967</v>
      </c>
      <c r="D18" s="74">
        <v>1270</v>
      </c>
      <c r="E18" s="43">
        <v>432.95699999999999</v>
      </c>
      <c r="F18" s="74">
        <v>557.77375500000005</v>
      </c>
    </row>
    <row r="19" spans="1:6" x14ac:dyDescent="0.3">
      <c r="A19" s="73" t="s">
        <v>266</v>
      </c>
      <c r="B19" s="73" t="s">
        <v>277</v>
      </c>
      <c r="C19" s="43">
        <v>413.94886700000006</v>
      </c>
      <c r="D19" s="74">
        <v>1556</v>
      </c>
      <c r="E19" s="43">
        <v>1256.6869999999999</v>
      </c>
      <c r="F19" s="74">
        <v>1167.3799730000001</v>
      </c>
    </row>
    <row r="20" spans="1:6" x14ac:dyDescent="0.3">
      <c r="A20" s="73" t="s">
        <v>267</v>
      </c>
      <c r="B20" s="73" t="s">
        <v>278</v>
      </c>
      <c r="C20" s="43">
        <v>96.312212999999971</v>
      </c>
      <c r="D20" s="74">
        <v>354</v>
      </c>
      <c r="E20" s="43">
        <v>282.48899999999958</v>
      </c>
      <c r="F20" s="74">
        <v>-141.17447999999968</v>
      </c>
    </row>
    <row r="21" spans="1:6" x14ac:dyDescent="0.3">
      <c r="A21" s="73" t="s">
        <v>268</v>
      </c>
      <c r="B21" s="73" t="s">
        <v>279</v>
      </c>
      <c r="C21" s="43">
        <v>-434.98961399999996</v>
      </c>
      <c r="D21" s="74">
        <v>-715</v>
      </c>
      <c r="E21" s="43">
        <v>-1008.037</v>
      </c>
      <c r="F21" s="74">
        <v>-733</v>
      </c>
    </row>
    <row r="22" spans="1:6" ht="15" thickBot="1" x14ac:dyDescent="0.35">
      <c r="A22" s="73" t="s">
        <v>269</v>
      </c>
      <c r="B22" s="73"/>
      <c r="C22" s="43">
        <v>-4.1023999999766136E-2</v>
      </c>
      <c r="D22" s="74">
        <v>-824</v>
      </c>
      <c r="E22" s="43">
        <v>-241</v>
      </c>
      <c r="F22" s="74">
        <v>-13</v>
      </c>
    </row>
    <row r="23" spans="1:6" ht="15" thickBot="1" x14ac:dyDescent="0.35">
      <c r="A23" s="76" t="s">
        <v>140</v>
      </c>
      <c r="B23" s="76"/>
      <c r="C23" s="78">
        <v>3137.3771760000009</v>
      </c>
      <c r="D23" s="77">
        <f>SUM(D17:D22)</f>
        <v>2799</v>
      </c>
      <c r="E23" s="78">
        <v>1800.6869999999997</v>
      </c>
      <c r="F23" s="77">
        <v>1951.5129690000003</v>
      </c>
    </row>
    <row r="26" spans="1:6" x14ac:dyDescent="0.3">
      <c r="A26" s="202" t="s">
        <v>326</v>
      </c>
      <c r="B26" s="202" t="s">
        <v>327</v>
      </c>
      <c r="C26" s="43"/>
      <c r="D26" s="43"/>
      <c r="E26" s="43"/>
    </row>
    <row r="27" spans="1:6" x14ac:dyDescent="0.3">
      <c r="A27" s="203" t="s">
        <v>328</v>
      </c>
      <c r="B27" s="203" t="s">
        <v>329</v>
      </c>
      <c r="C27" s="197">
        <v>42916</v>
      </c>
      <c r="D27" s="197">
        <v>43281</v>
      </c>
      <c r="E27" s="197">
        <v>43646</v>
      </c>
      <c r="F27" s="197">
        <v>44012</v>
      </c>
    </row>
    <row r="28" spans="1:6" x14ac:dyDescent="0.3">
      <c r="A28" s="43" t="s">
        <v>270</v>
      </c>
      <c r="B28" s="43" t="s">
        <v>324</v>
      </c>
      <c r="C28" s="43">
        <f>F3</f>
        <v>9557.5337209999998</v>
      </c>
      <c r="D28" s="74">
        <v>4934</v>
      </c>
      <c r="E28" s="43">
        <f>D3</f>
        <v>8408</v>
      </c>
      <c r="F28" s="43">
        <f>C3</f>
        <v>7529.115777</v>
      </c>
    </row>
    <row r="29" spans="1:6" ht="15" thickBot="1" x14ac:dyDescent="0.35">
      <c r="A29" s="43" t="s">
        <v>271</v>
      </c>
      <c r="B29" s="43" t="s">
        <v>325</v>
      </c>
      <c r="C29" s="43">
        <f>F10</f>
        <v>-8444</v>
      </c>
      <c r="D29" s="74">
        <f>-4242-24-167</f>
        <v>-4433</v>
      </c>
      <c r="E29" s="43">
        <f>D10</f>
        <v>-7250</v>
      </c>
      <c r="F29" s="43">
        <f>C10</f>
        <v>-6012.6980099999992</v>
      </c>
    </row>
    <row r="30" spans="1:6" ht="15" thickBot="1" x14ac:dyDescent="0.35">
      <c r="A30" s="195" t="s">
        <v>140</v>
      </c>
      <c r="B30" s="195" t="s">
        <v>140</v>
      </c>
      <c r="C30" s="195">
        <f>F17</f>
        <v>1113.5337209999998</v>
      </c>
      <c r="D30" s="194">
        <v>502</v>
      </c>
      <c r="E30" s="195">
        <f>E28+E29</f>
        <v>1158</v>
      </c>
      <c r="F30" s="195">
        <f>F28+F29</f>
        <v>1516.4177670000008</v>
      </c>
    </row>
    <row r="33" spans="1:6" x14ac:dyDescent="0.3">
      <c r="A33" s="192" t="s">
        <v>326</v>
      </c>
      <c r="B33" s="192" t="s">
        <v>327</v>
      </c>
    </row>
    <row r="34" spans="1:6" x14ac:dyDescent="0.3">
      <c r="A34" s="153" t="s">
        <v>322</v>
      </c>
      <c r="B34" s="153" t="s">
        <v>323</v>
      </c>
      <c r="C34" s="197">
        <v>42916</v>
      </c>
      <c r="D34" s="197">
        <v>43281</v>
      </c>
      <c r="E34" s="197">
        <v>43646</v>
      </c>
      <c r="F34" s="197">
        <v>44012</v>
      </c>
    </row>
    <row r="35" spans="1:6" x14ac:dyDescent="0.3">
      <c r="A35" t="s">
        <v>270</v>
      </c>
      <c r="B35" t="s">
        <v>324</v>
      </c>
      <c r="C35" s="43">
        <f>F4</f>
        <v>837.77375500000005</v>
      </c>
      <c r="D35" s="74">
        <f>E4</f>
        <v>626.95699999999999</v>
      </c>
      <c r="E35" s="43">
        <f>D4</f>
        <v>1594</v>
      </c>
      <c r="F35" s="43">
        <f>C4</f>
        <v>1824.9811460000001</v>
      </c>
    </row>
    <row r="36" spans="1:6" ht="15" thickBot="1" x14ac:dyDescent="0.35">
      <c r="A36" t="s">
        <v>271</v>
      </c>
      <c r="B36" t="s">
        <v>325</v>
      </c>
      <c r="C36" s="43">
        <f>F11</f>
        <v>-280</v>
      </c>
      <c r="D36" s="74">
        <f>E11</f>
        <v>-194</v>
      </c>
      <c r="E36" s="43">
        <f>D11</f>
        <v>-324</v>
      </c>
      <c r="F36" s="43">
        <f>C11</f>
        <v>-279.25217900000001</v>
      </c>
    </row>
    <row r="37" spans="1:6" ht="15" thickBot="1" x14ac:dyDescent="0.35">
      <c r="A37" s="193" t="s">
        <v>140</v>
      </c>
      <c r="B37" s="193" t="s">
        <v>140</v>
      </c>
      <c r="C37" s="195">
        <f>F18</f>
        <v>557.77375500000005</v>
      </c>
      <c r="D37" s="194">
        <f>E18</f>
        <v>432.95699999999999</v>
      </c>
      <c r="E37" s="195">
        <f>E35+E36</f>
        <v>1270</v>
      </c>
      <c r="F37" s="195">
        <f>F35+F36</f>
        <v>1545.728967</v>
      </c>
    </row>
    <row r="40" spans="1:6" x14ac:dyDescent="0.3">
      <c r="A40" s="192" t="s">
        <v>326</v>
      </c>
      <c r="B40" s="192" t="s">
        <v>327</v>
      </c>
    </row>
    <row r="41" spans="1:6" x14ac:dyDescent="0.3">
      <c r="A41" s="153" t="s">
        <v>266</v>
      </c>
      <c r="B41" s="153" t="s">
        <v>277</v>
      </c>
      <c r="C41" s="197">
        <v>42916</v>
      </c>
      <c r="D41" s="197">
        <v>43281</v>
      </c>
      <c r="E41" s="197">
        <v>43646</v>
      </c>
      <c r="F41" s="197">
        <v>44012</v>
      </c>
    </row>
    <row r="42" spans="1:6" x14ac:dyDescent="0.3">
      <c r="A42" t="s">
        <v>270</v>
      </c>
      <c r="B42" t="s">
        <v>324</v>
      </c>
      <c r="C42" s="43">
        <f>F5</f>
        <v>6216.3799730000001</v>
      </c>
      <c r="D42" s="74">
        <f>E5</f>
        <v>7581.6869999999999</v>
      </c>
      <c r="E42" s="43">
        <f>D5</f>
        <v>7841</v>
      </c>
      <c r="F42" s="43">
        <f>C5</f>
        <v>5133.0467189999999</v>
      </c>
    </row>
    <row r="43" spans="1:6" ht="15" thickBot="1" x14ac:dyDescent="0.35">
      <c r="A43" t="s">
        <v>271</v>
      </c>
      <c r="B43" t="s">
        <v>325</v>
      </c>
      <c r="C43" s="43">
        <f>F12</f>
        <v>-5049</v>
      </c>
      <c r="D43" s="74">
        <f>E12</f>
        <v>-6325</v>
      </c>
      <c r="E43" s="43">
        <f>D12</f>
        <v>-6285</v>
      </c>
      <c r="F43" s="43">
        <f>C12</f>
        <v>-4719.0978519999999</v>
      </c>
    </row>
    <row r="44" spans="1:6" ht="15" thickBot="1" x14ac:dyDescent="0.35">
      <c r="A44" s="193" t="s">
        <v>140</v>
      </c>
      <c r="B44" s="193" t="s">
        <v>140</v>
      </c>
      <c r="C44" s="195">
        <f>F19</f>
        <v>1167.3799730000001</v>
      </c>
      <c r="D44" s="194">
        <f>E19</f>
        <v>1256.6869999999999</v>
      </c>
      <c r="E44" s="195">
        <f>E42+E43</f>
        <v>1556</v>
      </c>
      <c r="F44" s="195">
        <f>F42+F43</f>
        <v>413.94886700000006</v>
      </c>
    </row>
    <row r="47" spans="1:6" x14ac:dyDescent="0.3">
      <c r="A47" s="192" t="s">
        <v>326</v>
      </c>
      <c r="B47" s="192" t="s">
        <v>327</v>
      </c>
    </row>
    <row r="48" spans="1:6" x14ac:dyDescent="0.3">
      <c r="A48" s="153" t="s">
        <v>267</v>
      </c>
      <c r="B48" s="153" t="s">
        <v>330</v>
      </c>
      <c r="C48" s="197">
        <v>42916</v>
      </c>
      <c r="D48" s="197">
        <v>43281</v>
      </c>
      <c r="E48" s="197">
        <v>43646</v>
      </c>
      <c r="F48" s="197">
        <v>44012</v>
      </c>
    </row>
    <row r="49" spans="1:6" x14ac:dyDescent="0.3">
      <c r="A49" t="s">
        <v>270</v>
      </c>
      <c r="B49" t="s">
        <v>324</v>
      </c>
      <c r="C49" s="43">
        <f>F6</f>
        <v>5120.8255200000003</v>
      </c>
      <c r="D49" s="74">
        <f>E6</f>
        <v>6943.4889999999996</v>
      </c>
      <c r="E49" s="43">
        <f>D6</f>
        <v>7038</v>
      </c>
      <c r="F49" s="43">
        <f>C6</f>
        <v>5652.4070730000003</v>
      </c>
    </row>
    <row r="50" spans="1:6" ht="15" thickBot="1" x14ac:dyDescent="0.35">
      <c r="A50" t="s">
        <v>271</v>
      </c>
      <c r="B50" t="s">
        <v>325</v>
      </c>
      <c r="C50" s="43">
        <f>F13</f>
        <v>-5262</v>
      </c>
      <c r="D50" s="74">
        <f>E13</f>
        <v>-6661</v>
      </c>
      <c r="E50" s="43">
        <f>D13</f>
        <v>-6684</v>
      </c>
      <c r="F50" s="43">
        <f>C13</f>
        <v>-5556.0948600000002</v>
      </c>
    </row>
    <row r="51" spans="1:6" ht="15" thickBot="1" x14ac:dyDescent="0.35">
      <c r="A51" s="193" t="s">
        <v>140</v>
      </c>
      <c r="B51" s="193" t="s">
        <v>140</v>
      </c>
      <c r="C51" s="195">
        <f>F20</f>
        <v>-141.17447999999968</v>
      </c>
      <c r="D51" s="194">
        <f>E20</f>
        <v>282.48899999999958</v>
      </c>
      <c r="E51" s="195">
        <f>E49+E50</f>
        <v>354</v>
      </c>
      <c r="F51" s="195">
        <f>F49+F50</f>
        <v>96.312213000000156</v>
      </c>
    </row>
    <row r="54" spans="1:6" x14ac:dyDescent="0.3">
      <c r="A54" s="192" t="s">
        <v>326</v>
      </c>
      <c r="B54" s="192" t="s">
        <v>327</v>
      </c>
    </row>
    <row r="55" spans="1:6" x14ac:dyDescent="0.3">
      <c r="A55" s="153" t="s">
        <v>268</v>
      </c>
      <c r="B55" s="153" t="s">
        <v>279</v>
      </c>
      <c r="C55" s="197">
        <v>42916</v>
      </c>
      <c r="D55" s="197">
        <v>43281</v>
      </c>
      <c r="E55" s="197">
        <v>43646</v>
      </c>
      <c r="F55" s="197">
        <v>44012</v>
      </c>
    </row>
    <row r="56" spans="1:6" x14ac:dyDescent="0.3">
      <c r="A56" t="s">
        <v>270</v>
      </c>
      <c r="B56" t="s">
        <v>324</v>
      </c>
      <c r="C56" s="198">
        <f>F7</f>
        <v>346</v>
      </c>
      <c r="D56" s="74">
        <f>E7</f>
        <v>346.96300000000002</v>
      </c>
      <c r="E56" s="43">
        <f>D7</f>
        <v>303</v>
      </c>
      <c r="F56" s="43">
        <f>C7</f>
        <v>221.013226</v>
      </c>
    </row>
    <row r="57" spans="1:6" ht="15" thickBot="1" x14ac:dyDescent="0.35">
      <c r="A57" t="s">
        <v>271</v>
      </c>
      <c r="B57" t="s">
        <v>325</v>
      </c>
      <c r="C57" s="198">
        <f>F14</f>
        <v>-1079</v>
      </c>
      <c r="D57" s="74">
        <f>E14</f>
        <v>-1355</v>
      </c>
      <c r="E57" s="43">
        <f>D14</f>
        <v>-1018</v>
      </c>
      <c r="F57" s="43">
        <f>C14</f>
        <v>-656.00283999999999</v>
      </c>
    </row>
    <row r="58" spans="1:6" ht="15" thickBot="1" x14ac:dyDescent="0.35">
      <c r="A58" s="193" t="s">
        <v>140</v>
      </c>
      <c r="B58" s="193" t="s">
        <v>140</v>
      </c>
      <c r="C58" s="199">
        <f>F21</f>
        <v>-733</v>
      </c>
      <c r="D58" s="194">
        <f>E21</f>
        <v>-1008.037</v>
      </c>
      <c r="E58" s="195">
        <f>E56+E57</f>
        <v>-715</v>
      </c>
      <c r="F58" s="195">
        <f>F56+F57</f>
        <v>-434.98961399999996</v>
      </c>
    </row>
    <row r="61" spans="1:6" x14ac:dyDescent="0.3">
      <c r="A61" s="192" t="s">
        <v>326</v>
      </c>
      <c r="B61" s="192" t="s">
        <v>327</v>
      </c>
    </row>
    <row r="62" spans="1:6" x14ac:dyDescent="0.3">
      <c r="A62" s="153" t="s">
        <v>331</v>
      </c>
      <c r="B62" s="153" t="s">
        <v>334</v>
      </c>
      <c r="C62" s="197">
        <v>42916</v>
      </c>
      <c r="D62" s="197">
        <v>43281</v>
      </c>
      <c r="E62" s="197">
        <v>43646</v>
      </c>
      <c r="F62" s="197">
        <v>44012</v>
      </c>
    </row>
    <row r="63" spans="1:6" x14ac:dyDescent="0.3">
      <c r="A63" t="s">
        <v>270</v>
      </c>
      <c r="B63" t="s">
        <v>324</v>
      </c>
      <c r="C63" s="198">
        <f t="shared" ref="C63:D63" si="0">C56+C49+C42+C35+C28</f>
        <v>22078.512969000003</v>
      </c>
      <c r="D63" s="74">
        <f t="shared" si="0"/>
        <v>20433.095999999998</v>
      </c>
      <c r="E63" s="43">
        <f>D8</f>
        <v>-7189</v>
      </c>
      <c r="F63" s="43">
        <f>C8</f>
        <v>-4197.0369069999997</v>
      </c>
    </row>
    <row r="64" spans="1:6" ht="15" thickBot="1" x14ac:dyDescent="0.35">
      <c r="A64" t="s">
        <v>271</v>
      </c>
      <c r="B64" t="s">
        <v>325</v>
      </c>
      <c r="C64" s="198">
        <f>C57+C50+C43+C36+C29</f>
        <v>-20114</v>
      </c>
      <c r="D64" s="74">
        <f>D57+D50+D43+D36+D29</f>
        <v>-18968</v>
      </c>
      <c r="E64" s="43">
        <f>D15</f>
        <v>6365</v>
      </c>
      <c r="F64" s="43">
        <f>C15</f>
        <v>4196.9958829999996</v>
      </c>
    </row>
    <row r="65" spans="1:6" ht="15" thickBot="1" x14ac:dyDescent="0.35">
      <c r="A65" s="193" t="s">
        <v>140</v>
      </c>
      <c r="B65" s="193" t="s">
        <v>140</v>
      </c>
      <c r="C65" s="199">
        <f>C58+C51+C44+C37+C30</f>
        <v>1964.5129690000003</v>
      </c>
      <c r="D65" s="194">
        <f>D58+D51+D44+D37+D30</f>
        <v>1466.0959999999995</v>
      </c>
      <c r="E65" s="195">
        <f>E63+E64</f>
        <v>-824</v>
      </c>
      <c r="F65" s="195">
        <f>F63+F64</f>
        <v>-4.1024000000106753E-2</v>
      </c>
    </row>
    <row r="68" spans="1:6" x14ac:dyDescent="0.3">
      <c r="A68" s="192" t="s">
        <v>326</v>
      </c>
      <c r="B68" s="192" t="s">
        <v>327</v>
      </c>
    </row>
    <row r="69" spans="1:6" x14ac:dyDescent="0.3">
      <c r="A69" s="153" t="s">
        <v>332</v>
      </c>
      <c r="B69" s="153" t="s">
        <v>333</v>
      </c>
      <c r="C69" s="197">
        <v>42916</v>
      </c>
      <c r="D69" s="197">
        <v>43281</v>
      </c>
      <c r="E69" s="197">
        <v>43646</v>
      </c>
      <c r="F69" s="197">
        <v>44012</v>
      </c>
    </row>
    <row r="70" spans="1:6" x14ac:dyDescent="0.3">
      <c r="A70" t="s">
        <v>270</v>
      </c>
      <c r="B70" t="s">
        <v>324</v>
      </c>
      <c r="C70" s="198">
        <f>C63+F8</f>
        <v>18388.512969000003</v>
      </c>
      <c r="D70" s="74">
        <f>D63+E8</f>
        <v>13389.175999999996</v>
      </c>
    </row>
    <row r="71" spans="1:6" ht="15" thickBot="1" x14ac:dyDescent="0.35">
      <c r="A71" t="s">
        <v>271</v>
      </c>
      <c r="B71" t="s">
        <v>325</v>
      </c>
      <c r="C71" s="198">
        <f>C64+F15</f>
        <v>-16437</v>
      </c>
      <c r="D71" s="74">
        <f>D64+E15</f>
        <v>-12165.079999999998</v>
      </c>
    </row>
    <row r="72" spans="1:6" ht="15" thickBot="1" x14ac:dyDescent="0.35">
      <c r="A72" s="193" t="s">
        <v>140</v>
      </c>
      <c r="B72" s="193" t="s">
        <v>140</v>
      </c>
      <c r="C72" s="199">
        <f>C65+F22</f>
        <v>1951.5129690000003</v>
      </c>
      <c r="D72" s="194">
        <f>D65+E22</f>
        <v>1225.0959999999995</v>
      </c>
      <c r="E72" s="193"/>
      <c r="F72" s="19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872D9-B725-4D9F-8AF9-1C9F6C2EED5F}">
  <dimension ref="B2:V78"/>
  <sheetViews>
    <sheetView workbookViewId="0">
      <selection activeCell="L68" sqref="A68:L70"/>
    </sheetView>
  </sheetViews>
  <sheetFormatPr defaultRowHeight="14.4" outlineLevelCol="1" x14ac:dyDescent="0.3"/>
  <cols>
    <col min="1" max="1" width="4.6640625" customWidth="1"/>
    <col min="2" max="2" width="44.5546875" customWidth="1"/>
    <col min="3" max="3" width="37" hidden="1" customWidth="1" outlineLevel="1"/>
    <col min="4" max="4" width="9.109375" collapsed="1"/>
    <col min="9" max="9" width="13.109375" customWidth="1"/>
    <col min="10" max="11" width="14.6640625" customWidth="1"/>
    <col min="12" max="12" width="13" customWidth="1"/>
    <col min="13" max="13" width="41.77734375" hidden="1" customWidth="1" outlineLevel="1"/>
    <col min="14" max="14" width="50.33203125" customWidth="1" collapsed="1"/>
    <col min="19" max="21" width="12.21875" bestFit="1" customWidth="1"/>
    <col min="22" max="22" width="13.33203125" bestFit="1" customWidth="1"/>
  </cols>
  <sheetData>
    <row r="2" spans="2:22" ht="15" thickBot="1" x14ac:dyDescent="0.35"/>
    <row r="3" spans="2:22" ht="15" thickBot="1" x14ac:dyDescent="0.35">
      <c r="B3" s="221" t="s">
        <v>343</v>
      </c>
      <c r="C3" s="221" t="s">
        <v>344</v>
      </c>
      <c r="D3" s="222">
        <v>2013</v>
      </c>
      <c r="E3" s="222">
        <f>+D3+1</f>
        <v>2014</v>
      </c>
      <c r="F3" s="222">
        <f t="shared" ref="F3:K3" si="0">+E3+1</f>
        <v>2015</v>
      </c>
      <c r="G3" s="222">
        <f t="shared" si="0"/>
        <v>2016</v>
      </c>
      <c r="H3" s="222">
        <f t="shared" si="0"/>
        <v>2017</v>
      </c>
      <c r="I3" s="222">
        <f t="shared" si="0"/>
        <v>2018</v>
      </c>
      <c r="J3" s="222">
        <f t="shared" si="0"/>
        <v>2019</v>
      </c>
      <c r="K3" s="223">
        <f t="shared" si="0"/>
        <v>2020</v>
      </c>
      <c r="M3" s="224" t="s">
        <v>345</v>
      </c>
      <c r="N3" s="225" t="s">
        <v>346</v>
      </c>
      <c r="O3" s="48">
        <v>2013</v>
      </c>
      <c r="P3" s="48">
        <f>+O3+1</f>
        <v>2014</v>
      </c>
      <c r="Q3" s="48">
        <f t="shared" ref="Q3:U3" si="1">+P3+1</f>
        <v>2015</v>
      </c>
      <c r="R3" s="48">
        <f t="shared" si="1"/>
        <v>2016</v>
      </c>
      <c r="S3" s="48">
        <f t="shared" si="1"/>
        <v>2017</v>
      </c>
      <c r="T3" s="48">
        <f t="shared" si="1"/>
        <v>2018</v>
      </c>
      <c r="U3" s="48">
        <f t="shared" si="1"/>
        <v>2019</v>
      </c>
      <c r="V3" s="226">
        <f>+U3+1</f>
        <v>2020</v>
      </c>
    </row>
    <row r="4" spans="2:22" x14ac:dyDescent="0.3">
      <c r="B4" s="227" t="s">
        <v>347</v>
      </c>
      <c r="C4" s="227" t="s">
        <v>347</v>
      </c>
      <c r="D4" s="228">
        <v>399191</v>
      </c>
      <c r="E4" s="229">
        <v>303406</v>
      </c>
      <c r="F4" s="229">
        <v>148227</v>
      </c>
      <c r="G4" s="229">
        <v>43775.493999999999</v>
      </c>
      <c r="H4" s="229">
        <v>48214</v>
      </c>
      <c r="I4" s="229">
        <v>39673.569049999998</v>
      </c>
      <c r="J4" s="229">
        <v>39398</v>
      </c>
      <c r="K4" s="230">
        <v>51944.600000000006</v>
      </c>
      <c r="M4" s="231" t="s">
        <v>348</v>
      </c>
      <c r="N4" s="231" t="s">
        <v>349</v>
      </c>
      <c r="O4" s="232">
        <v>85180.214999999997</v>
      </c>
      <c r="P4" s="233">
        <v>117530.183</v>
      </c>
      <c r="Q4" s="233">
        <v>157858.92000000001</v>
      </c>
      <c r="R4" s="233">
        <v>173132.1</v>
      </c>
      <c r="S4" s="233">
        <v>316330</v>
      </c>
      <c r="T4" s="233">
        <v>367315</v>
      </c>
      <c r="U4" s="233">
        <v>405701</v>
      </c>
      <c r="V4" s="234">
        <v>485122</v>
      </c>
    </row>
    <row r="5" spans="2:22" x14ac:dyDescent="0.3">
      <c r="B5" s="231" t="s">
        <v>350</v>
      </c>
      <c r="C5" s="231" t="s">
        <v>350</v>
      </c>
      <c r="D5" s="232">
        <v>266266.05068197998</v>
      </c>
      <c r="E5" s="233">
        <v>217015.65134144499</v>
      </c>
      <c r="F5" s="233">
        <v>201360.24492105551</v>
      </c>
      <c r="G5" s="233">
        <v>232809.0114059168</v>
      </c>
      <c r="H5" s="233">
        <v>331962</v>
      </c>
      <c r="I5" s="233">
        <v>305538.51158999995</v>
      </c>
      <c r="J5" s="233">
        <v>295708</v>
      </c>
      <c r="K5" s="234">
        <v>365699</v>
      </c>
      <c r="M5" s="231" t="s">
        <v>351</v>
      </c>
      <c r="N5" s="231" t="s">
        <v>352</v>
      </c>
      <c r="O5" s="232"/>
      <c r="P5" s="233"/>
      <c r="Q5" s="233"/>
      <c r="R5" s="233">
        <f>106113.88/3.6</f>
        <v>29476.077777777777</v>
      </c>
      <c r="S5" s="233">
        <v>100254</v>
      </c>
      <c r="T5" s="233">
        <v>138813</v>
      </c>
      <c r="U5" s="233">
        <v>202550</v>
      </c>
      <c r="V5" s="234">
        <v>248806</v>
      </c>
    </row>
    <row r="6" spans="2:22" ht="15" thickBot="1" x14ac:dyDescent="0.35">
      <c r="B6" s="231" t="s">
        <v>353</v>
      </c>
      <c r="C6" s="231" t="s">
        <v>353</v>
      </c>
      <c r="D6" s="232"/>
      <c r="E6" s="233"/>
      <c r="F6" s="233">
        <v>457309.22269000002</v>
      </c>
      <c r="G6" s="233">
        <v>463806.95</v>
      </c>
      <c r="H6" s="233">
        <v>541581.95595043001</v>
      </c>
      <c r="I6" s="233">
        <v>487025.41769031755</v>
      </c>
      <c r="J6" s="233">
        <v>478057.28912492347</v>
      </c>
      <c r="K6" s="234">
        <v>512785</v>
      </c>
      <c r="M6" s="235" t="s">
        <v>354</v>
      </c>
      <c r="N6" s="235" t="s">
        <v>355</v>
      </c>
      <c r="O6" s="236">
        <f>SUM(O4:O5)</f>
        <v>85180.214999999997</v>
      </c>
      <c r="P6" s="236">
        <f t="shared" ref="P6:T6" si="2">SUM(P4:P5)</f>
        <v>117530.183</v>
      </c>
      <c r="Q6" s="236">
        <f t="shared" si="2"/>
        <v>157858.92000000001</v>
      </c>
      <c r="R6" s="236">
        <f t="shared" si="2"/>
        <v>202608.17777777778</v>
      </c>
      <c r="S6" s="236">
        <f t="shared" si="2"/>
        <v>416584</v>
      </c>
      <c r="T6" s="236">
        <f t="shared" si="2"/>
        <v>506128</v>
      </c>
      <c r="U6" s="236">
        <f t="shared" ref="U6:V6" si="3">SUM(U4:U5)</f>
        <v>608251</v>
      </c>
      <c r="V6" s="236">
        <f t="shared" si="3"/>
        <v>733928</v>
      </c>
    </row>
    <row r="7" spans="2:22" x14ac:dyDescent="0.3">
      <c r="B7" s="231" t="s">
        <v>356</v>
      </c>
      <c r="C7" s="231" t="s">
        <v>356</v>
      </c>
      <c r="D7" s="232"/>
      <c r="E7" s="233"/>
      <c r="F7" s="233">
        <v>237648.30602127299</v>
      </c>
      <c r="G7" s="233">
        <v>249692.21717421999</v>
      </c>
      <c r="H7" s="233">
        <v>203582.07484354469</v>
      </c>
      <c r="I7" s="233">
        <v>200175.0593283661</v>
      </c>
      <c r="J7" s="233">
        <v>220807</v>
      </c>
      <c r="K7" s="234">
        <v>235597</v>
      </c>
    </row>
    <row r="8" spans="2:22" x14ac:dyDescent="0.3">
      <c r="B8" s="231" t="s">
        <v>357</v>
      </c>
      <c r="C8" s="231" t="s">
        <v>357</v>
      </c>
      <c r="D8" s="232"/>
      <c r="E8" s="233"/>
      <c r="F8" s="233">
        <v>304577.35402476275</v>
      </c>
      <c r="G8" s="233">
        <v>300125.81178366736</v>
      </c>
      <c r="H8" s="233">
        <v>348465.54973823036</v>
      </c>
      <c r="I8" s="233">
        <v>315289.15484692995</v>
      </c>
      <c r="J8" s="233">
        <v>304573</v>
      </c>
      <c r="K8" s="234">
        <v>331598</v>
      </c>
    </row>
    <row r="9" spans="2:22" x14ac:dyDescent="0.3">
      <c r="B9" s="231" t="s">
        <v>358</v>
      </c>
      <c r="C9" s="231" t="s">
        <v>358</v>
      </c>
      <c r="D9" s="232"/>
      <c r="E9" s="233"/>
      <c r="F9" s="233">
        <v>822446.15533776931</v>
      </c>
      <c r="G9" s="233">
        <v>792317.9365500001</v>
      </c>
      <c r="H9" s="233">
        <v>774711.96727000002</v>
      </c>
      <c r="I9" s="233">
        <v>629979.12952239998</v>
      </c>
      <c r="J9" s="233">
        <v>729525</v>
      </c>
      <c r="K9" s="234">
        <v>717283</v>
      </c>
    </row>
    <row r="10" spans="2:22" ht="15" thickBot="1" x14ac:dyDescent="0.35">
      <c r="B10" s="237" t="s">
        <v>359</v>
      </c>
      <c r="C10" s="237" t="s">
        <v>359</v>
      </c>
      <c r="D10" s="238">
        <v>4198.1170928299998</v>
      </c>
      <c r="E10" s="239">
        <v>2447.26025566</v>
      </c>
      <c r="F10" s="239">
        <v>1129.403577</v>
      </c>
      <c r="G10" s="239">
        <v>196.91644602942011</v>
      </c>
      <c r="H10" s="239">
        <v>4277.7777183440003</v>
      </c>
      <c r="I10" s="239">
        <v>8140.0902811059996</v>
      </c>
      <c r="J10" s="239">
        <v>5428</v>
      </c>
      <c r="K10" s="240">
        <v>3221</v>
      </c>
    </row>
    <row r="11" spans="2:22" ht="15" thickBot="1" x14ac:dyDescent="0.35">
      <c r="B11" s="241" t="s">
        <v>354</v>
      </c>
      <c r="C11" s="241" t="s">
        <v>355</v>
      </c>
      <c r="D11" s="242">
        <f>SUM(D4:D10)</f>
        <v>669655.16777480999</v>
      </c>
      <c r="E11" s="243">
        <f t="shared" ref="E11:J11" si="4">SUM(E4:E10)</f>
        <v>522868.91159710498</v>
      </c>
      <c r="F11" s="243">
        <f t="shared" si="4"/>
        <v>2172697.6865718607</v>
      </c>
      <c r="G11" s="243">
        <f t="shared" si="4"/>
        <v>2082724.3373598338</v>
      </c>
      <c r="H11" s="243">
        <f t="shared" si="4"/>
        <v>2252795.325520549</v>
      </c>
      <c r="I11" s="243">
        <f t="shared" si="4"/>
        <v>1985820.9323091195</v>
      </c>
      <c r="J11" s="243">
        <f t="shared" si="4"/>
        <v>2073496.2891249235</v>
      </c>
      <c r="K11" s="244">
        <f>SUM(K4:K10)</f>
        <v>2218127.6</v>
      </c>
    </row>
    <row r="13" spans="2:22" ht="15" thickBot="1" x14ac:dyDescent="0.35"/>
    <row r="14" spans="2:22" ht="15" thickBot="1" x14ac:dyDescent="0.35">
      <c r="B14" s="245" t="s">
        <v>360</v>
      </c>
      <c r="C14" s="245" t="s">
        <v>361</v>
      </c>
      <c r="D14" s="222">
        <v>2013</v>
      </c>
      <c r="E14" s="222">
        <f>+D14+1</f>
        <v>2014</v>
      </c>
      <c r="F14" s="222">
        <f t="shared" ref="F14:K14" si="5">+E14+1</f>
        <v>2015</v>
      </c>
      <c r="G14" s="222">
        <f t="shared" si="5"/>
        <v>2016</v>
      </c>
      <c r="H14" s="222">
        <f t="shared" si="5"/>
        <v>2017</v>
      </c>
      <c r="I14" s="222">
        <f t="shared" si="5"/>
        <v>2018</v>
      </c>
      <c r="J14" s="222">
        <f t="shared" si="5"/>
        <v>2019</v>
      </c>
      <c r="K14" s="223">
        <f t="shared" si="5"/>
        <v>2020</v>
      </c>
      <c r="M14" s="225" t="s">
        <v>362</v>
      </c>
      <c r="N14" s="225" t="s">
        <v>363</v>
      </c>
      <c r="O14" s="48">
        <v>2013</v>
      </c>
      <c r="P14" s="48">
        <f>+O14+1</f>
        <v>2014</v>
      </c>
      <c r="Q14" s="48">
        <f t="shared" ref="Q14:V14" si="6">+P14+1</f>
        <v>2015</v>
      </c>
      <c r="R14" s="48">
        <f t="shared" si="6"/>
        <v>2016</v>
      </c>
      <c r="S14" s="48">
        <f t="shared" si="6"/>
        <v>2017</v>
      </c>
      <c r="T14" s="48">
        <f t="shared" si="6"/>
        <v>2018</v>
      </c>
      <c r="U14" s="48">
        <f t="shared" si="6"/>
        <v>2019</v>
      </c>
      <c r="V14" s="226">
        <f t="shared" si="6"/>
        <v>2020</v>
      </c>
    </row>
    <row r="15" spans="2:22" ht="15" thickBot="1" x14ac:dyDescent="0.35">
      <c r="B15" s="246" t="s">
        <v>347</v>
      </c>
      <c r="C15" s="246" t="s">
        <v>347</v>
      </c>
      <c r="D15" s="228">
        <v>13064.129000000001</v>
      </c>
      <c r="E15" s="229">
        <v>8267.2520000000004</v>
      </c>
      <c r="F15" s="229">
        <v>705.72900000000004</v>
      </c>
      <c r="G15" s="229">
        <v>414.31824999999998</v>
      </c>
      <c r="H15" s="229">
        <v>2003.3050000000001</v>
      </c>
      <c r="I15" s="229">
        <v>1224.7750000000001</v>
      </c>
      <c r="J15" s="229">
        <v>1067.56</v>
      </c>
      <c r="K15" s="230">
        <v>2377.127</v>
      </c>
      <c r="M15" s="288" t="s">
        <v>349</v>
      </c>
      <c r="N15" s="289" t="s">
        <v>349</v>
      </c>
      <c r="O15" s="274">
        <v>85180.214999999997</v>
      </c>
      <c r="P15" s="274">
        <v>152534.13</v>
      </c>
      <c r="Q15" s="274">
        <v>215698.99</v>
      </c>
      <c r="R15" s="274">
        <v>203952.98</v>
      </c>
      <c r="S15" s="274">
        <v>271240</v>
      </c>
      <c r="T15" s="274">
        <v>269320</v>
      </c>
      <c r="U15" s="274">
        <v>238198</v>
      </c>
      <c r="V15" s="304">
        <v>296504.74</v>
      </c>
    </row>
    <row r="16" spans="2:22" ht="18.600000000000001" customHeight="1" thickBot="1" x14ac:dyDescent="0.35">
      <c r="B16" s="231" t="s">
        <v>350</v>
      </c>
      <c r="C16" s="231" t="s">
        <v>350</v>
      </c>
      <c r="D16" s="232">
        <v>14479.5</v>
      </c>
      <c r="E16" s="233">
        <v>9122.4</v>
      </c>
      <c r="F16" s="233">
        <v>6799.1000000000013</v>
      </c>
      <c r="G16" s="233">
        <v>5633.4</v>
      </c>
      <c r="H16" s="233">
        <v>13461.4</v>
      </c>
      <c r="I16" s="233">
        <v>11943.011</v>
      </c>
      <c r="J16" s="233">
        <v>9066.39</v>
      </c>
      <c r="K16" s="234">
        <v>14942.161</v>
      </c>
      <c r="N16" s="290" t="s">
        <v>417</v>
      </c>
      <c r="O16" s="248"/>
      <c r="P16" s="248"/>
      <c r="Q16" s="248"/>
      <c r="R16" s="248"/>
      <c r="S16" s="291">
        <v>53872</v>
      </c>
      <c r="T16" s="291">
        <v>69888</v>
      </c>
      <c r="U16" s="291">
        <v>52224</v>
      </c>
      <c r="V16" s="292">
        <v>35040</v>
      </c>
    </row>
    <row r="17" spans="2:19" x14ac:dyDescent="0.3">
      <c r="B17" s="231" t="s">
        <v>353</v>
      </c>
      <c r="C17" s="231" t="s">
        <v>353</v>
      </c>
      <c r="D17" s="232"/>
      <c r="E17" s="233"/>
      <c r="F17" s="233">
        <v>7669.3</v>
      </c>
      <c r="G17" s="233">
        <v>5011.87</v>
      </c>
      <c r="H17" s="233">
        <v>14595.828</v>
      </c>
      <c r="I17" s="233">
        <v>12810</v>
      </c>
      <c r="J17" s="233">
        <v>9098</v>
      </c>
      <c r="K17" s="234">
        <v>13530</v>
      </c>
      <c r="N17" s="251"/>
      <c r="O17" s="252"/>
      <c r="P17" s="252"/>
      <c r="Q17" s="252"/>
      <c r="R17" s="252"/>
      <c r="S17" s="252"/>
    </row>
    <row r="18" spans="2:19" x14ac:dyDescent="0.3">
      <c r="B18" s="231" t="s">
        <v>356</v>
      </c>
      <c r="C18" s="231" t="s">
        <v>356</v>
      </c>
      <c r="D18" s="232"/>
      <c r="E18" s="233"/>
      <c r="F18" s="233">
        <v>26812.799999999999</v>
      </c>
      <c r="G18" s="233">
        <v>28012.2</v>
      </c>
      <c r="H18" s="233">
        <v>22551.8</v>
      </c>
      <c r="I18" s="233">
        <v>22090.9</v>
      </c>
      <c r="J18" s="233">
        <v>24432.6</v>
      </c>
      <c r="K18" s="234">
        <v>26001.200000000001</v>
      </c>
    </row>
    <row r="19" spans="2:19" x14ac:dyDescent="0.3">
      <c r="B19" s="231" t="s">
        <v>357</v>
      </c>
      <c r="C19" s="231" t="s">
        <v>357</v>
      </c>
      <c r="D19" s="232"/>
      <c r="E19" s="233"/>
      <c r="F19" s="233">
        <v>5538.6140000000005</v>
      </c>
      <c r="G19" s="233">
        <v>2586.7449999999999</v>
      </c>
      <c r="H19" s="233">
        <v>7656.2309999999998</v>
      </c>
      <c r="I19" s="233">
        <v>7909.8760000000002</v>
      </c>
      <c r="J19" s="233">
        <v>6382.56</v>
      </c>
      <c r="K19" s="234">
        <v>11613.913</v>
      </c>
    </row>
    <row r="20" spans="2:19" x14ac:dyDescent="0.3">
      <c r="B20" s="231" t="s">
        <v>358</v>
      </c>
      <c r="C20" s="231" t="s">
        <v>358</v>
      </c>
      <c r="D20" s="232"/>
      <c r="E20" s="233"/>
      <c r="F20" s="233">
        <v>96088.721000000005</v>
      </c>
      <c r="G20" s="233">
        <v>93917</v>
      </c>
      <c r="H20" s="233">
        <v>93870.095000000001</v>
      </c>
      <c r="I20" s="233">
        <v>70895</v>
      </c>
      <c r="J20" s="233">
        <v>83382.25</v>
      </c>
      <c r="K20" s="234">
        <v>81535</v>
      </c>
    </row>
    <row r="21" spans="2:19" x14ac:dyDescent="0.3">
      <c r="B21" s="253" t="s">
        <v>359</v>
      </c>
      <c r="C21" s="254" t="s">
        <v>359</v>
      </c>
      <c r="D21" s="238">
        <v>417.88</v>
      </c>
      <c r="E21" s="239">
        <v>245.36000000000004</v>
      </c>
      <c r="F21" s="239">
        <v>110.05</v>
      </c>
      <c r="G21" s="239">
        <v>19.275000000000301</v>
      </c>
      <c r="H21" s="239">
        <v>440.28</v>
      </c>
      <c r="I21" s="239">
        <v>819.06</v>
      </c>
      <c r="J21" s="239">
        <v>548.41999999999996</v>
      </c>
      <c r="K21" s="240">
        <v>327.3</v>
      </c>
    </row>
    <row r="22" spans="2:19" x14ac:dyDescent="0.3">
      <c r="B22" s="253" t="s">
        <v>364</v>
      </c>
      <c r="C22" s="254" t="s">
        <v>364</v>
      </c>
      <c r="D22" s="238"/>
      <c r="E22" s="239"/>
      <c r="F22" s="239"/>
      <c r="G22" s="239"/>
      <c r="H22" s="239">
        <f>5234-1472</f>
        <v>3762</v>
      </c>
      <c r="I22" s="239">
        <v>3201.7330000000002</v>
      </c>
      <c r="J22" s="239">
        <v>4347.1400000000003</v>
      </c>
      <c r="K22" s="240">
        <v>3882.5160000000001</v>
      </c>
    </row>
    <row r="23" spans="2:19" x14ac:dyDescent="0.3">
      <c r="B23" s="253" t="s">
        <v>365</v>
      </c>
      <c r="C23" s="254" t="s">
        <v>365</v>
      </c>
      <c r="D23" s="238"/>
      <c r="E23" s="239"/>
      <c r="F23" s="239"/>
      <c r="G23" s="239"/>
      <c r="H23" s="239"/>
      <c r="I23" s="239">
        <v>1892.92</v>
      </c>
      <c r="J23" s="239">
        <v>4769.28</v>
      </c>
      <c r="K23" s="240">
        <v>3657.6019999999999</v>
      </c>
    </row>
    <row r="24" spans="2:19" x14ac:dyDescent="0.3">
      <c r="B24" s="253" t="s">
        <v>366</v>
      </c>
      <c r="C24" s="254" t="s">
        <v>366</v>
      </c>
      <c r="D24" s="238"/>
      <c r="E24" s="239"/>
      <c r="F24" s="239"/>
      <c r="G24" s="239"/>
      <c r="H24" s="239"/>
      <c r="I24" s="239">
        <f>10881/(3.6)</f>
        <v>3022.5</v>
      </c>
      <c r="J24" s="239">
        <v>4628.9399999999996</v>
      </c>
      <c r="K24" s="240">
        <v>3958.991</v>
      </c>
    </row>
    <row r="25" spans="2:19" ht="15" thickBot="1" x14ac:dyDescent="0.35">
      <c r="B25" s="253" t="s">
        <v>378</v>
      </c>
      <c r="C25" s="254" t="s">
        <v>378</v>
      </c>
      <c r="D25" s="238"/>
      <c r="E25" s="239"/>
      <c r="F25" s="239"/>
      <c r="G25" s="239"/>
      <c r="H25" s="239"/>
      <c r="I25" s="239"/>
      <c r="J25" s="239">
        <v>1759.09</v>
      </c>
      <c r="K25" s="234">
        <v>1081.7829999999999</v>
      </c>
    </row>
    <row r="26" spans="2:19" ht="15" thickBot="1" x14ac:dyDescent="0.35">
      <c r="B26" s="241" t="s">
        <v>354</v>
      </c>
      <c r="C26" s="241" t="s">
        <v>355</v>
      </c>
      <c r="D26" s="242">
        <f t="shared" ref="D26:I26" si="7">SUM(D15:D25)</f>
        <v>27961.509000000002</v>
      </c>
      <c r="E26" s="243">
        <f t="shared" si="7"/>
        <v>17635.012000000002</v>
      </c>
      <c r="F26" s="243">
        <f t="shared" si="7"/>
        <v>143724.31400000001</v>
      </c>
      <c r="G26" s="243">
        <f t="shared" si="7"/>
        <v>135594.80825</v>
      </c>
      <c r="H26" s="243">
        <f t="shared" si="7"/>
        <v>158340.93899999998</v>
      </c>
      <c r="I26" s="243">
        <f t="shared" si="7"/>
        <v>135809.77500000002</v>
      </c>
      <c r="J26" s="243">
        <f>SUM(J15:J25)</f>
        <v>149482.23000000001</v>
      </c>
      <c r="K26" s="244">
        <f>SUM(K15:L25)</f>
        <v>162907.59300000002</v>
      </c>
    </row>
    <row r="27" spans="2:19" ht="15" thickBot="1" x14ac:dyDescent="0.35"/>
    <row r="28" spans="2:19" ht="15" thickBot="1" x14ac:dyDescent="0.35">
      <c r="B28" s="245" t="s">
        <v>367</v>
      </c>
      <c r="C28" s="245" t="s">
        <v>368</v>
      </c>
      <c r="D28" s="222">
        <v>2013</v>
      </c>
      <c r="E28" s="222">
        <f>+D28+1</f>
        <v>2014</v>
      </c>
      <c r="F28" s="222">
        <f t="shared" ref="F28:K28" si="8">+E28+1</f>
        <v>2015</v>
      </c>
      <c r="G28" s="222">
        <f t="shared" si="8"/>
        <v>2016</v>
      </c>
      <c r="H28" s="222">
        <f t="shared" si="8"/>
        <v>2017</v>
      </c>
      <c r="I28" s="222">
        <f t="shared" si="8"/>
        <v>2018</v>
      </c>
      <c r="J28" s="222">
        <f t="shared" si="8"/>
        <v>2019</v>
      </c>
      <c r="K28" s="223">
        <f t="shared" si="8"/>
        <v>2020</v>
      </c>
    </row>
    <row r="29" spans="2:19" x14ac:dyDescent="0.3">
      <c r="B29" s="227" t="s">
        <v>347</v>
      </c>
      <c r="C29" s="227" t="s">
        <v>347</v>
      </c>
      <c r="D29" s="228">
        <v>290702.81</v>
      </c>
      <c r="E29" s="229">
        <v>227788</v>
      </c>
      <c r="F29" s="229">
        <v>130629</v>
      </c>
      <c r="G29" s="229">
        <v>37280.5</v>
      </c>
      <c r="H29" s="229">
        <v>27816</v>
      </c>
      <c r="I29" s="229">
        <v>27606.7</v>
      </c>
      <c r="J29" s="229">
        <v>27923.7</v>
      </c>
      <c r="K29" s="230">
        <v>28673.4</v>
      </c>
    </row>
    <row r="30" spans="2:19" x14ac:dyDescent="0.3">
      <c r="B30" s="231" t="s">
        <v>350</v>
      </c>
      <c r="C30" s="231" t="s">
        <v>350</v>
      </c>
      <c r="D30" s="232">
        <v>169219</v>
      </c>
      <c r="E30" s="233">
        <v>150929</v>
      </c>
      <c r="F30" s="233">
        <v>147050</v>
      </c>
      <c r="G30" s="233">
        <v>184577</v>
      </c>
      <c r="H30" s="233">
        <v>223406.5</v>
      </c>
      <c r="I30" s="233">
        <v>213003</v>
      </c>
      <c r="J30" s="233">
        <v>219231</v>
      </c>
      <c r="K30" s="234">
        <v>262146</v>
      </c>
    </row>
    <row r="31" spans="2:19" x14ac:dyDescent="0.3">
      <c r="B31" s="231" t="s">
        <v>353</v>
      </c>
      <c r="C31" s="231" t="s">
        <v>353</v>
      </c>
      <c r="D31" s="232"/>
      <c r="E31" s="233"/>
      <c r="F31" s="233">
        <v>398032</v>
      </c>
      <c r="G31" s="233">
        <v>416031</v>
      </c>
      <c r="H31" s="233">
        <v>442352</v>
      </c>
      <c r="I31" s="233">
        <v>400779</v>
      </c>
      <c r="J31" s="233">
        <v>411242</v>
      </c>
      <c r="K31" s="234">
        <v>365819</v>
      </c>
    </row>
    <row r="32" spans="2:19" x14ac:dyDescent="0.3">
      <c r="B32" s="231" t="s">
        <v>356</v>
      </c>
      <c r="C32" s="231" t="s">
        <v>356</v>
      </c>
      <c r="D32" s="232"/>
      <c r="E32" s="233"/>
      <c r="F32" s="233">
        <v>95932</v>
      </c>
      <c r="G32" s="233">
        <v>102667</v>
      </c>
      <c r="H32" s="233">
        <v>83486</v>
      </c>
      <c r="I32" s="233">
        <v>85752</v>
      </c>
      <c r="J32" s="233">
        <v>88644</v>
      </c>
      <c r="K32" s="234">
        <v>92203</v>
      </c>
    </row>
    <row r="33" spans="2:13" x14ac:dyDescent="0.3">
      <c r="B33" s="231" t="s">
        <v>357</v>
      </c>
      <c r="C33" s="231" t="s">
        <v>357</v>
      </c>
      <c r="D33" s="232"/>
      <c r="E33" s="233"/>
      <c r="F33" s="233">
        <v>264005</v>
      </c>
      <c r="G33" s="233">
        <v>276030.3</v>
      </c>
      <c r="H33" s="233">
        <v>291914.30000000016</v>
      </c>
      <c r="I33" s="233">
        <v>258327</v>
      </c>
      <c r="J33" s="233">
        <v>251194</v>
      </c>
      <c r="K33" s="234">
        <v>246500</v>
      </c>
    </row>
    <row r="34" spans="2:13" x14ac:dyDescent="0.3">
      <c r="B34" s="231" t="s">
        <v>358</v>
      </c>
      <c r="C34" s="231" t="s">
        <v>358</v>
      </c>
      <c r="D34" s="232"/>
      <c r="E34" s="233"/>
      <c r="F34" s="233">
        <v>328198.63199999998</v>
      </c>
      <c r="G34" s="233">
        <v>315849.28000000003</v>
      </c>
      <c r="H34" s="233">
        <v>309596</v>
      </c>
      <c r="I34" s="233">
        <v>245518.51</v>
      </c>
      <c r="J34" s="233">
        <v>290217</v>
      </c>
      <c r="K34" s="234">
        <v>278053</v>
      </c>
    </row>
    <row r="35" spans="2:13" ht="15" thickBot="1" x14ac:dyDescent="0.35">
      <c r="B35" s="237" t="s">
        <v>359</v>
      </c>
      <c r="C35" s="237" t="s">
        <v>359</v>
      </c>
      <c r="D35" s="238">
        <v>1597.48</v>
      </c>
      <c r="E35" s="239">
        <v>858.86</v>
      </c>
      <c r="F35" s="239">
        <v>516.74</v>
      </c>
      <c r="G35" s="239">
        <v>64.409999999999854</v>
      </c>
      <c r="H35" s="239">
        <v>1454.6000000000006</v>
      </c>
      <c r="I35" s="239">
        <v>2521.9650000000001</v>
      </c>
      <c r="J35" s="239">
        <v>2012</v>
      </c>
      <c r="K35" s="240">
        <v>0</v>
      </c>
    </row>
    <row r="36" spans="2:13" ht="15" thickBot="1" x14ac:dyDescent="0.35">
      <c r="B36" s="241" t="s">
        <v>354</v>
      </c>
      <c r="C36" s="241" t="s">
        <v>355</v>
      </c>
      <c r="D36" s="242">
        <f>SUM(D29:D35)</f>
        <v>461519.29</v>
      </c>
      <c r="E36" s="243">
        <f t="shared" ref="E36:J36" si="9">SUM(E29:E35)</f>
        <v>379575.86</v>
      </c>
      <c r="F36" s="243">
        <f t="shared" si="9"/>
        <v>1364363.372</v>
      </c>
      <c r="G36" s="243">
        <f t="shared" si="9"/>
        <v>1332499.49</v>
      </c>
      <c r="H36" s="243">
        <f t="shared" si="9"/>
        <v>1380025.4000000004</v>
      </c>
      <c r="I36" s="243">
        <f t="shared" si="9"/>
        <v>1233508.175</v>
      </c>
      <c r="J36" s="243">
        <f t="shared" si="9"/>
        <v>1290463.7</v>
      </c>
      <c r="K36" s="244">
        <f>SUM(K29:K35)</f>
        <v>1273394.3999999999</v>
      </c>
    </row>
    <row r="37" spans="2:13" ht="15" thickBot="1" x14ac:dyDescent="0.35"/>
    <row r="38" spans="2:13" ht="15" thickBot="1" x14ac:dyDescent="0.35">
      <c r="B38" s="245" t="s">
        <v>369</v>
      </c>
      <c r="C38" s="245" t="s">
        <v>361</v>
      </c>
      <c r="D38" s="222">
        <v>2013</v>
      </c>
      <c r="E38" s="222">
        <f>+D38+1</f>
        <v>2014</v>
      </c>
      <c r="F38" s="222">
        <f t="shared" ref="F38:K38" si="10">+E38+1</f>
        <v>2015</v>
      </c>
      <c r="G38" s="222">
        <f t="shared" si="10"/>
        <v>2016</v>
      </c>
      <c r="H38" s="222">
        <f t="shared" si="10"/>
        <v>2017</v>
      </c>
      <c r="I38" s="222">
        <f t="shared" si="10"/>
        <v>2018</v>
      </c>
      <c r="J38" s="222">
        <f t="shared" si="10"/>
        <v>2019</v>
      </c>
      <c r="K38" s="223">
        <f t="shared" si="10"/>
        <v>2020</v>
      </c>
    </row>
    <row r="39" spans="2:13" x14ac:dyDescent="0.3">
      <c r="B39" s="246" t="s">
        <v>365</v>
      </c>
      <c r="C39" s="246" t="s">
        <v>365</v>
      </c>
      <c r="D39" s="273">
        <v>4617.8999999999996</v>
      </c>
      <c r="E39" s="274">
        <v>4353.5079999999998</v>
      </c>
      <c r="F39" s="274">
        <v>4684.277</v>
      </c>
      <c r="G39" s="274">
        <v>4616.6859999999997</v>
      </c>
      <c r="H39" s="274">
        <v>5002.4189999999999</v>
      </c>
      <c r="I39" s="274">
        <v>1557</v>
      </c>
      <c r="J39" s="274">
        <v>0</v>
      </c>
      <c r="K39" s="275">
        <v>0</v>
      </c>
    </row>
    <row r="40" spans="2:13" x14ac:dyDescent="0.3">
      <c r="B40" s="231" t="s">
        <v>364</v>
      </c>
      <c r="C40" s="231" t="s">
        <v>364</v>
      </c>
      <c r="D40" s="232">
        <v>5709.7179999999998</v>
      </c>
      <c r="E40" s="233">
        <v>5269.5360000000001</v>
      </c>
      <c r="F40" s="233">
        <v>5590.1059999999998</v>
      </c>
      <c r="G40" s="233">
        <v>5355.4750000000004</v>
      </c>
      <c r="H40" s="233">
        <v>1472</v>
      </c>
      <c r="I40" s="233">
        <v>0</v>
      </c>
      <c r="J40" s="233">
        <v>0</v>
      </c>
      <c r="K40" s="234">
        <v>0</v>
      </c>
    </row>
    <row r="41" spans="2:13" x14ac:dyDescent="0.3">
      <c r="B41" s="231" t="s">
        <v>366</v>
      </c>
      <c r="C41" s="231" t="s">
        <v>366</v>
      </c>
      <c r="D41" s="232">
        <v>5019.6297930000001</v>
      </c>
      <c r="E41" s="233">
        <v>5045.6790000000001</v>
      </c>
      <c r="F41" s="233">
        <v>5032.7039999999997</v>
      </c>
      <c r="G41" s="233">
        <v>5052.1930000000002</v>
      </c>
      <c r="H41" s="233">
        <v>5228.8109999999997</v>
      </c>
      <c r="I41" s="233">
        <v>0</v>
      </c>
      <c r="J41" s="233">
        <v>0</v>
      </c>
      <c r="K41" s="234">
        <v>0</v>
      </c>
    </row>
    <row r="42" spans="2:13" x14ac:dyDescent="0.3">
      <c r="B42" s="231" t="s">
        <v>370</v>
      </c>
      <c r="C42" s="231" t="s">
        <v>370</v>
      </c>
      <c r="D42" s="232">
        <v>2634.049</v>
      </c>
      <c r="E42" s="233">
        <v>2839.1370000000002</v>
      </c>
      <c r="F42" s="233">
        <v>3245.422</v>
      </c>
      <c r="G42" s="233">
        <v>3310.5720000000001</v>
      </c>
      <c r="H42" s="233">
        <v>2709.32</v>
      </c>
      <c r="I42" s="233">
        <v>1853.383</v>
      </c>
      <c r="J42" s="233">
        <v>1663.06</v>
      </c>
      <c r="K42" s="234">
        <v>247.32</v>
      </c>
    </row>
    <row r="43" spans="2:13" x14ac:dyDescent="0.3">
      <c r="B43" s="231" t="s">
        <v>418</v>
      </c>
      <c r="C43" s="231"/>
      <c r="D43" s="232"/>
      <c r="E43" s="233"/>
      <c r="F43" s="233"/>
      <c r="G43" s="233"/>
      <c r="H43" s="233"/>
      <c r="I43" s="233"/>
      <c r="J43" s="233">
        <v>37575.68</v>
      </c>
      <c r="K43" s="234">
        <v>53918.726999999999</v>
      </c>
    </row>
    <row r="44" spans="2:13" x14ac:dyDescent="0.3">
      <c r="B44" s="231" t="s">
        <v>419</v>
      </c>
      <c r="C44" s="231"/>
      <c r="D44" s="232"/>
      <c r="E44" s="233"/>
      <c r="F44" s="233"/>
      <c r="G44" s="233"/>
      <c r="H44" s="233"/>
      <c r="I44" s="233"/>
      <c r="J44" s="233"/>
      <c r="K44" s="234">
        <v>7011.4</v>
      </c>
    </row>
    <row r="45" spans="2:13" x14ac:dyDescent="0.3">
      <c r="B45" s="231" t="s">
        <v>371</v>
      </c>
      <c r="C45" s="231" t="s">
        <v>371</v>
      </c>
      <c r="D45" s="232">
        <v>4558.9009999999998</v>
      </c>
      <c r="E45" s="233">
        <v>4048.6118287499999</v>
      </c>
      <c r="F45" s="233">
        <v>3464.99</v>
      </c>
      <c r="G45" s="233">
        <v>3205.46</v>
      </c>
      <c r="H45" s="233">
        <v>2236.4459999999999</v>
      </c>
      <c r="I45" s="233">
        <v>3188.8270000000002</v>
      </c>
      <c r="J45" s="233">
        <v>2579.79</v>
      </c>
      <c r="K45" s="234">
        <v>0</v>
      </c>
    </row>
    <row r="46" spans="2:13" x14ac:dyDescent="0.3">
      <c r="B46" s="231" t="s">
        <v>372</v>
      </c>
      <c r="C46" s="231" t="s">
        <v>372</v>
      </c>
      <c r="D46" s="232"/>
      <c r="E46" s="233"/>
      <c r="F46" s="233"/>
      <c r="G46" s="233"/>
      <c r="H46" s="233">
        <v>1224.799</v>
      </c>
      <c r="I46" s="233">
        <v>2647.848</v>
      </c>
      <c r="J46" s="233">
        <v>1017.87</v>
      </c>
      <c r="K46" s="234">
        <v>3477.7</v>
      </c>
      <c r="M46" s="43"/>
    </row>
    <row r="47" spans="2:13" x14ac:dyDescent="0.3">
      <c r="B47" s="231" t="s">
        <v>373</v>
      </c>
      <c r="C47" s="231" t="s">
        <v>373</v>
      </c>
      <c r="D47" s="232">
        <v>1135.662</v>
      </c>
      <c r="E47" s="233">
        <v>1048.71</v>
      </c>
      <c r="F47" s="233">
        <v>902.10900000000004</v>
      </c>
      <c r="G47" s="233">
        <v>712.56899999999996</v>
      </c>
      <c r="H47" s="233">
        <v>670.67200000000003</v>
      </c>
      <c r="I47" s="233">
        <v>816.58600000000001</v>
      </c>
      <c r="J47" s="233">
        <v>421.13600000000002</v>
      </c>
      <c r="K47" s="234">
        <v>0</v>
      </c>
    </row>
    <row r="48" spans="2:13" x14ac:dyDescent="0.3">
      <c r="B48" s="231" t="s">
        <v>374</v>
      </c>
      <c r="C48" s="231" t="s">
        <v>374</v>
      </c>
      <c r="D48" s="232">
        <v>2637.5347879999999</v>
      </c>
      <c r="E48" s="233">
        <v>2429.3680445999998</v>
      </c>
      <c r="F48" s="233">
        <v>1874.4763249999999</v>
      </c>
      <c r="G48" s="233">
        <v>1490.8600749999998</v>
      </c>
      <c r="H48" s="233">
        <v>994.73</v>
      </c>
      <c r="I48" s="233">
        <v>408.49</v>
      </c>
      <c r="J48" s="233">
        <v>0</v>
      </c>
      <c r="K48" s="234">
        <v>0</v>
      </c>
    </row>
    <row r="49" spans="2:13" x14ac:dyDescent="0.3">
      <c r="B49" s="231" t="s">
        <v>375</v>
      </c>
      <c r="C49" s="231" t="s">
        <v>376</v>
      </c>
      <c r="D49" s="232"/>
      <c r="E49" s="233"/>
      <c r="F49" s="233"/>
      <c r="G49" s="233">
        <v>0</v>
      </c>
      <c r="H49" s="233">
        <v>0</v>
      </c>
      <c r="I49" s="233">
        <v>0</v>
      </c>
      <c r="J49" s="233">
        <v>0</v>
      </c>
      <c r="K49" s="234">
        <v>0</v>
      </c>
    </row>
    <row r="50" spans="2:13" x14ac:dyDescent="0.3">
      <c r="B50" s="231" t="s">
        <v>377</v>
      </c>
      <c r="C50" s="231" t="s">
        <v>377</v>
      </c>
      <c r="D50" s="232"/>
      <c r="E50" s="233"/>
      <c r="F50" s="233">
        <v>4393.5739999999996</v>
      </c>
      <c r="G50" s="233">
        <v>5294.9539999999997</v>
      </c>
      <c r="H50" s="233">
        <v>4953.25</v>
      </c>
      <c r="I50" s="233">
        <v>4482.0439999999999</v>
      </c>
      <c r="J50" s="233">
        <v>4355.6002500000004</v>
      </c>
      <c r="K50" s="234">
        <v>5314.29</v>
      </c>
    </row>
    <row r="51" spans="2:13" x14ac:dyDescent="0.3">
      <c r="B51" s="231" t="s">
        <v>378</v>
      </c>
      <c r="C51" s="231" t="s">
        <v>378</v>
      </c>
      <c r="D51" s="232"/>
      <c r="E51" s="233"/>
      <c r="F51" s="233">
        <v>3274.5059999999999</v>
      </c>
      <c r="G51" s="233">
        <v>2482.5410000000002</v>
      </c>
      <c r="H51" s="233">
        <v>3632.91</v>
      </c>
      <c r="I51" s="233">
        <v>3253.8150000000001</v>
      </c>
      <c r="J51" s="233">
        <v>0</v>
      </c>
      <c r="K51" s="234">
        <v>0</v>
      </c>
    </row>
    <row r="52" spans="2:13" x14ac:dyDescent="0.3">
      <c r="B52" s="231" t="s">
        <v>379</v>
      </c>
      <c r="C52" s="231" t="s">
        <v>379</v>
      </c>
      <c r="D52" s="232"/>
      <c r="E52" s="233"/>
      <c r="F52" s="233"/>
      <c r="G52" s="233"/>
      <c r="H52" s="233"/>
      <c r="I52" s="233">
        <v>2758</v>
      </c>
      <c r="J52" s="233">
        <v>2765.25</v>
      </c>
      <c r="K52" s="234">
        <v>2870.989</v>
      </c>
    </row>
    <row r="53" spans="2:13" x14ac:dyDescent="0.3">
      <c r="B53" s="231" t="s">
        <v>380</v>
      </c>
      <c r="C53" s="231" t="s">
        <v>380</v>
      </c>
      <c r="D53" s="232"/>
      <c r="E53" s="233"/>
      <c r="F53" s="233"/>
      <c r="G53" s="233"/>
      <c r="H53" s="233"/>
      <c r="I53" s="233">
        <v>146.03</v>
      </c>
      <c r="J53" s="233">
        <v>6449.22</v>
      </c>
      <c r="K53" s="234">
        <v>6309.9489999999996</v>
      </c>
    </row>
    <row r="54" spans="2:13" x14ac:dyDescent="0.3">
      <c r="B54" s="231" t="s">
        <v>405</v>
      </c>
      <c r="C54" s="231" t="s">
        <v>405</v>
      </c>
      <c r="D54" s="232"/>
      <c r="E54" s="233"/>
      <c r="F54" s="233"/>
      <c r="G54" s="233"/>
      <c r="H54" s="233"/>
      <c r="I54" s="233"/>
      <c r="J54" s="233">
        <v>5484.03</v>
      </c>
      <c r="K54" s="234">
        <v>8660.3649999999998</v>
      </c>
    </row>
    <row r="55" spans="2:13" ht="15" thickBot="1" x14ac:dyDescent="0.35">
      <c r="B55" s="237" t="s">
        <v>406</v>
      </c>
      <c r="C55" s="237" t="s">
        <v>407</v>
      </c>
      <c r="D55" s="247"/>
      <c r="E55" s="248"/>
      <c r="F55" s="248"/>
      <c r="G55" s="248"/>
      <c r="H55" s="248"/>
      <c r="I55" s="248"/>
      <c r="J55" s="248">
        <v>6144.62</v>
      </c>
      <c r="K55" s="249">
        <v>12020.335999999999</v>
      </c>
    </row>
    <row r="56" spans="2:13" ht="15" thickBot="1" x14ac:dyDescent="0.35">
      <c r="B56" s="241" t="s">
        <v>354</v>
      </c>
      <c r="C56" s="241" t="s">
        <v>355</v>
      </c>
      <c r="D56" s="242">
        <f t="shared" ref="D56:I56" si="11">SUM(D39:D55)</f>
        <v>26313.394581</v>
      </c>
      <c r="E56" s="243">
        <f t="shared" si="11"/>
        <v>25034.549873349999</v>
      </c>
      <c r="F56" s="243">
        <f t="shared" si="11"/>
        <v>32462.164324999998</v>
      </c>
      <c r="G56" s="243">
        <f t="shared" si="11"/>
        <v>31521.310074999998</v>
      </c>
      <c r="H56" s="243">
        <f t="shared" si="11"/>
        <v>28125.356999999996</v>
      </c>
      <c r="I56" s="243">
        <f t="shared" si="11"/>
        <v>21112.022999999997</v>
      </c>
      <c r="J56" s="243">
        <f>SUM(J39:J55)</f>
        <v>68456.256250000006</v>
      </c>
      <c r="K56" s="244">
        <f>SUM(K39:K55)</f>
        <v>99831.075999999986</v>
      </c>
    </row>
    <row r="58" spans="2:13" ht="15" thickBot="1" x14ac:dyDescent="0.35">
      <c r="M58" s="43"/>
    </row>
    <row r="59" spans="2:13" ht="15" thickBot="1" x14ac:dyDescent="0.35">
      <c r="B59" s="245" t="s">
        <v>381</v>
      </c>
      <c r="C59" s="245" t="s">
        <v>382</v>
      </c>
      <c r="D59" s="222">
        <v>2013</v>
      </c>
      <c r="E59" s="222">
        <f>+D59+1</f>
        <v>2014</v>
      </c>
      <c r="F59" s="222">
        <f t="shared" ref="F59:J59" si="12">+E59+1</f>
        <v>2015</v>
      </c>
      <c r="G59" s="222">
        <f t="shared" si="12"/>
        <v>2016</v>
      </c>
      <c r="H59" s="222">
        <f t="shared" si="12"/>
        <v>2017</v>
      </c>
      <c r="I59" s="222">
        <f t="shared" si="12"/>
        <v>2018</v>
      </c>
      <c r="J59" s="222">
        <f t="shared" si="12"/>
        <v>2019</v>
      </c>
      <c r="K59" s="223">
        <v>2020</v>
      </c>
      <c r="M59" s="43"/>
    </row>
    <row r="60" spans="2:13" x14ac:dyDescent="0.3">
      <c r="B60" s="227" t="s">
        <v>383</v>
      </c>
      <c r="C60" s="227" t="s">
        <v>384</v>
      </c>
      <c r="D60" s="256">
        <v>7.1</v>
      </c>
      <c r="E60" s="257">
        <v>7.1</v>
      </c>
      <c r="F60" s="257">
        <v>7.1</v>
      </c>
      <c r="G60" s="257">
        <v>7.1</v>
      </c>
      <c r="H60" s="257">
        <v>7.1</v>
      </c>
      <c r="I60" s="257">
        <v>7.1</v>
      </c>
      <c r="J60" s="257">
        <v>32.1</v>
      </c>
      <c r="K60" s="258">
        <v>47.1</v>
      </c>
    </row>
    <row r="61" spans="2:13" x14ac:dyDescent="0.3">
      <c r="B61" s="231" t="s">
        <v>385</v>
      </c>
      <c r="C61" s="231" t="s">
        <v>386</v>
      </c>
      <c r="D61" s="259">
        <v>1.4</v>
      </c>
      <c r="E61" s="260">
        <v>1.4</v>
      </c>
      <c r="F61" s="260">
        <v>1.4</v>
      </c>
      <c r="G61" s="260">
        <v>1.4</v>
      </c>
      <c r="H61" s="260">
        <v>1.4</v>
      </c>
      <c r="I61" s="260">
        <v>1.4</v>
      </c>
      <c r="J61" s="260">
        <v>1.4</v>
      </c>
      <c r="K61" s="261">
        <v>1.91</v>
      </c>
    </row>
    <row r="62" spans="2:13" x14ac:dyDescent="0.3">
      <c r="B62" s="231" t="s">
        <v>387</v>
      </c>
      <c r="C62" s="231" t="s">
        <v>388</v>
      </c>
      <c r="D62" s="259"/>
      <c r="E62" s="260"/>
      <c r="F62" s="260"/>
      <c r="G62" s="260"/>
      <c r="H62" s="260">
        <v>2</v>
      </c>
      <c r="I62" s="260">
        <v>6</v>
      </c>
      <c r="J62" s="260">
        <v>19.12</v>
      </c>
      <c r="K62" s="261">
        <v>19.12</v>
      </c>
    </row>
    <row r="63" spans="2:13" ht="15" thickBot="1" x14ac:dyDescent="0.35">
      <c r="B63" s="262" t="s">
        <v>389</v>
      </c>
      <c r="C63" s="262" t="s">
        <v>390</v>
      </c>
      <c r="D63" s="238"/>
      <c r="E63" s="239"/>
      <c r="F63" s="263">
        <f>0.625+0.143+0.499</f>
        <v>1.2669999999999999</v>
      </c>
      <c r="G63" s="263">
        <f>0.625+0.143+0.499</f>
        <v>1.2669999999999999</v>
      </c>
      <c r="H63" s="263">
        <f>0.625+0.143+0.499+0.499</f>
        <v>1.766</v>
      </c>
      <c r="I63" s="263">
        <f>+H63-0.499</f>
        <v>1.2669999999999999</v>
      </c>
      <c r="J63" s="263">
        <f>0.625+0.499</f>
        <v>1.1240000000000001</v>
      </c>
      <c r="K63" s="294">
        <v>1.1200000000000001</v>
      </c>
    </row>
    <row r="64" spans="2:13" ht="15" thickBot="1" x14ac:dyDescent="0.35">
      <c r="B64" s="241" t="s">
        <v>354</v>
      </c>
      <c r="C64" s="241" t="s">
        <v>355</v>
      </c>
      <c r="D64" s="242"/>
      <c r="E64" s="243"/>
      <c r="F64" s="243"/>
      <c r="G64" s="243">
        <f>SUM(G60:G63)</f>
        <v>9.7669999999999995</v>
      </c>
      <c r="H64" s="243">
        <f t="shared" ref="H64:I64" si="13">SUM(H60:H63)</f>
        <v>12.266</v>
      </c>
      <c r="I64" s="243">
        <f t="shared" si="13"/>
        <v>15.766999999999999</v>
      </c>
      <c r="J64" s="293">
        <f>SUM(J60:J63)</f>
        <v>53.744000000000007</v>
      </c>
      <c r="K64" s="264">
        <f>SUM(K60:K63)</f>
        <v>69.25</v>
      </c>
    </row>
    <row r="65" spans="2:11" ht="15" thickBot="1" x14ac:dyDescent="0.35">
      <c r="B65" s="250"/>
      <c r="C65" s="250"/>
      <c r="D65" s="43"/>
      <c r="E65" s="43"/>
      <c r="F65" s="43"/>
      <c r="G65" s="43"/>
      <c r="H65" s="43"/>
      <c r="I65" s="265"/>
      <c r="J65" s="265"/>
      <c r="K65" s="265"/>
    </row>
    <row r="66" spans="2:11" ht="24.6" thickBot="1" x14ac:dyDescent="0.35">
      <c r="B66" s="245" t="s">
        <v>391</v>
      </c>
      <c r="C66" s="266" t="s">
        <v>392</v>
      </c>
      <c r="D66" s="298">
        <v>2013</v>
      </c>
      <c r="E66" s="222">
        <f>+D66+1</f>
        <v>2014</v>
      </c>
      <c r="F66" s="222">
        <f t="shared" ref="F66:I66" si="14">+E66+1</f>
        <v>2015</v>
      </c>
      <c r="G66" s="222">
        <f t="shared" si="14"/>
        <v>2016</v>
      </c>
      <c r="H66" s="222">
        <f t="shared" si="14"/>
        <v>2017</v>
      </c>
      <c r="I66" s="299">
        <f t="shared" si="14"/>
        <v>2018</v>
      </c>
      <c r="J66" s="299">
        <f t="shared" ref="J66" si="15">+I66+1</f>
        <v>2019</v>
      </c>
      <c r="K66" s="267">
        <f t="shared" ref="K66" si="16">+J66+1</f>
        <v>2020</v>
      </c>
    </row>
    <row r="67" spans="2:11" x14ac:dyDescent="0.3">
      <c r="B67" s="227" t="s">
        <v>393</v>
      </c>
      <c r="C67" s="227" t="s">
        <v>394</v>
      </c>
      <c r="D67" s="301"/>
      <c r="E67" s="257"/>
      <c r="F67" s="257">
        <v>30</v>
      </c>
      <c r="G67" s="257">
        <f>+F67</f>
        <v>30</v>
      </c>
      <c r="H67" s="295">
        <f>+G67</f>
        <v>30</v>
      </c>
      <c r="I67" s="257">
        <v>48</v>
      </c>
      <c r="J67" s="257">
        <f>+I67</f>
        <v>48</v>
      </c>
      <c r="K67" s="258">
        <v>66.05</v>
      </c>
    </row>
    <row r="68" spans="2:11" x14ac:dyDescent="0.3">
      <c r="B68" s="231" t="s">
        <v>395</v>
      </c>
      <c r="C68" s="231" t="s">
        <v>396</v>
      </c>
      <c r="D68" s="302"/>
      <c r="E68" s="260"/>
      <c r="F68" s="260"/>
      <c r="G68" s="260"/>
      <c r="H68" s="296"/>
      <c r="I68" s="260">
        <v>6</v>
      </c>
      <c r="J68" s="260">
        <v>6</v>
      </c>
      <c r="K68" s="261">
        <v>6</v>
      </c>
    </row>
    <row r="69" spans="2:11" ht="15" thickBot="1" x14ac:dyDescent="0.35">
      <c r="B69" s="255" t="s">
        <v>397</v>
      </c>
      <c r="C69" s="255" t="s">
        <v>398</v>
      </c>
      <c r="D69" s="303"/>
      <c r="E69" s="268"/>
      <c r="F69" s="268"/>
      <c r="G69" s="268">
        <v>0</v>
      </c>
      <c r="H69" s="297">
        <v>1.8</v>
      </c>
      <c r="I69" s="260">
        <v>5.8</v>
      </c>
      <c r="J69" s="260">
        <f>2+2+1.8+0.5</f>
        <v>6.3</v>
      </c>
      <c r="K69" s="261">
        <v>6.3</v>
      </c>
    </row>
    <row r="70" spans="2:11" ht="15" thickBot="1" x14ac:dyDescent="0.35">
      <c r="B70" s="241" t="s">
        <v>354</v>
      </c>
      <c r="C70" s="241" t="s">
        <v>355</v>
      </c>
      <c r="D70" s="300"/>
      <c r="E70" s="243">
        <f t="shared" ref="E70:I70" si="17">SUM(E67:E69)</f>
        <v>0</v>
      </c>
      <c r="F70" s="243">
        <f t="shared" si="17"/>
        <v>30</v>
      </c>
      <c r="G70" s="243">
        <f t="shared" si="17"/>
        <v>30</v>
      </c>
      <c r="H70" s="243">
        <f t="shared" si="17"/>
        <v>31.8</v>
      </c>
      <c r="I70" s="243">
        <f t="shared" si="17"/>
        <v>59.8</v>
      </c>
      <c r="J70" s="243">
        <f>SUM(J67:J69)</f>
        <v>60.3</v>
      </c>
      <c r="K70" s="244">
        <f>SUM(K67:K69)</f>
        <v>78.349999999999994</v>
      </c>
    </row>
    <row r="71" spans="2:11" x14ac:dyDescent="0.3">
      <c r="B71" s="250"/>
      <c r="C71" s="250"/>
      <c r="D71" s="43"/>
      <c r="E71" s="43"/>
      <c r="F71" s="43"/>
      <c r="G71" s="43"/>
      <c r="H71" s="43"/>
      <c r="I71" s="265"/>
      <c r="J71" s="265"/>
      <c r="K71" s="265"/>
    </row>
    <row r="72" spans="2:11" x14ac:dyDescent="0.3">
      <c r="B72" s="250"/>
      <c r="C72" s="250"/>
      <c r="D72" s="43"/>
      <c r="E72" s="43"/>
      <c r="F72" s="43"/>
      <c r="G72" s="43"/>
      <c r="H72" s="43"/>
      <c r="I72" s="265"/>
      <c r="J72" s="265"/>
      <c r="K72" s="265"/>
    </row>
    <row r="73" spans="2:11" x14ac:dyDescent="0.3">
      <c r="B73" s="250"/>
      <c r="C73" s="250"/>
      <c r="D73" s="43"/>
      <c r="E73" s="43"/>
      <c r="F73" s="43"/>
      <c r="G73" s="43"/>
      <c r="H73" s="43"/>
      <c r="I73" s="265"/>
      <c r="J73" s="265"/>
      <c r="K73" s="265"/>
    </row>
    <row r="76" spans="2:11" x14ac:dyDescent="0.3">
      <c r="G76" s="265"/>
      <c r="J76" s="265"/>
      <c r="K76" s="265"/>
    </row>
    <row r="77" spans="2:11" x14ac:dyDescent="0.3">
      <c r="G77" s="265"/>
      <c r="J77" s="265"/>
      <c r="K77" s="265"/>
    </row>
    <row r="78" spans="2:11" x14ac:dyDescent="0.3">
      <c r="G78" s="265"/>
      <c r="J78" s="265"/>
      <c r="K78" s="265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éves P&amp;L_mérleg</vt:lpstr>
      <vt:lpstr>féléves P&amp;L_mérleg</vt:lpstr>
      <vt:lpstr>negyedéves P&amp;L_mérleg</vt:lpstr>
      <vt:lpstr>szegmensek</vt:lpstr>
      <vt:lpstr>szegmensek új </vt:lpstr>
      <vt:lpstr>szegmensek - féléves</vt:lpstr>
      <vt:lpstr>naturáliák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Szécsi Balázs</dc:creator>
  <cp:lastModifiedBy>Szécsi Balázs</cp:lastModifiedBy>
  <dcterms:created xsi:type="dcterms:W3CDTF">2018-10-09T07:53:33Z</dcterms:created>
  <dcterms:modified xsi:type="dcterms:W3CDTF">2021-02-27T10:06:25Z</dcterms:modified>
</cp:coreProperties>
</file>