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"/>
    </mc:Choice>
  </mc:AlternateContent>
  <xr:revisionPtr revIDLastSave="0" documentId="13_ncr:1_{AA81FCE9-25A4-4CA9-B587-2DE5DED4B5B4}" xr6:coauthVersionLast="45" xr6:coauthVersionMax="45" xr10:uidLastSave="{00000000-0000-0000-0000-000000000000}"/>
  <bookViews>
    <workbookView xWindow="-120" yWindow="-120" windowWidth="24240" windowHeight="13140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r:id="rId4"/>
    <sheet name="szegmensek új " sheetId="11" r:id="rId5"/>
    <sheet name="szegmensek - féléves" sheetId="7" r:id="rId6"/>
  </sheets>
  <externalReferences>
    <externalReference r:id="rId7"/>
    <externalReference r:id="rId8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2" i="8" l="1"/>
  <c r="V42" i="8"/>
  <c r="W42" i="8"/>
  <c r="X42" i="8"/>
  <c r="Y42" i="8"/>
  <c r="Z42" i="8"/>
  <c r="AA42" i="8"/>
  <c r="AB42" i="8"/>
  <c r="AC42" i="8"/>
  <c r="U43" i="8"/>
  <c r="V43" i="8"/>
  <c r="W43" i="8"/>
  <c r="X43" i="8"/>
  <c r="Y43" i="8"/>
  <c r="Z43" i="8"/>
  <c r="AA43" i="8"/>
  <c r="AB43" i="8"/>
  <c r="AC43" i="8"/>
  <c r="U44" i="8"/>
  <c r="V44" i="8"/>
  <c r="W44" i="8"/>
  <c r="X44" i="8"/>
  <c r="Y44" i="8"/>
  <c r="Z44" i="8"/>
  <c r="AA44" i="8"/>
  <c r="AB44" i="8"/>
  <c r="AC44" i="8"/>
  <c r="U45" i="8"/>
  <c r="V45" i="8"/>
  <c r="W45" i="8"/>
  <c r="X45" i="8"/>
  <c r="Y45" i="8"/>
  <c r="Z45" i="8"/>
  <c r="AA45" i="8"/>
  <c r="AB45" i="8"/>
  <c r="AC45" i="8"/>
  <c r="T43" i="8"/>
  <c r="T44" i="8"/>
  <c r="T45" i="8"/>
  <c r="T42" i="8"/>
  <c r="U33" i="8"/>
  <c r="V33" i="8"/>
  <c r="X33" i="8"/>
  <c r="Y33" i="8"/>
  <c r="Z33" i="8"/>
  <c r="AB33" i="8"/>
  <c r="AC33" i="8"/>
  <c r="AD33" i="8"/>
  <c r="T33" i="8"/>
  <c r="AD40" i="8"/>
  <c r="AD39" i="8"/>
  <c r="AD44" i="8" s="1"/>
  <c r="AD35" i="8"/>
  <c r="AD5" i="8"/>
  <c r="AD6" i="8"/>
  <c r="AD7" i="8"/>
  <c r="AD8" i="8"/>
  <c r="AD9" i="8"/>
  <c r="AD10" i="8"/>
  <c r="AD12" i="8"/>
  <c r="AD14" i="8"/>
  <c r="AD16" i="8"/>
  <c r="AD18" i="8"/>
  <c r="AD20" i="8"/>
  <c r="E65" i="7"/>
  <c r="E64" i="7"/>
  <c r="E63" i="7"/>
  <c r="E58" i="7"/>
  <c r="E57" i="7"/>
  <c r="E56" i="7"/>
  <c r="E51" i="7"/>
  <c r="E50" i="7"/>
  <c r="E49" i="7"/>
  <c r="E44" i="7"/>
  <c r="E43" i="7"/>
  <c r="E42" i="7"/>
  <c r="E37" i="7"/>
  <c r="E36" i="7"/>
  <c r="E35" i="7"/>
  <c r="E30" i="7"/>
  <c r="E29" i="7"/>
  <c r="E28" i="7"/>
  <c r="C23" i="7"/>
  <c r="C16" i="7"/>
  <c r="C9" i="7"/>
  <c r="AD42" i="8" l="1"/>
  <c r="AD43" i="8"/>
  <c r="D29" i="7"/>
  <c r="AD45" i="8" l="1"/>
  <c r="AD11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D64" i="7" s="1"/>
  <c r="D71" i="7" s="1"/>
  <c r="C36" i="7"/>
  <c r="D35" i="7"/>
  <c r="C35" i="7"/>
  <c r="C30" i="7"/>
  <c r="C29" i="7"/>
  <c r="C28" i="7"/>
  <c r="E59" i="11"/>
  <c r="F59" i="11"/>
  <c r="F72" i="11"/>
  <c r="E66" i="11"/>
  <c r="E73" i="11" s="1"/>
  <c r="F66" i="11"/>
  <c r="F73" i="11" s="1"/>
  <c r="F65" i="11"/>
  <c r="F58" i="11"/>
  <c r="E58" i="11"/>
  <c r="F52" i="11"/>
  <c r="E52" i="11"/>
  <c r="F51" i="11"/>
  <c r="F45" i="11"/>
  <c r="E45" i="11"/>
  <c r="F44" i="11"/>
  <c r="F38" i="11"/>
  <c r="E38" i="11"/>
  <c r="F37" i="11"/>
  <c r="F31" i="11"/>
  <c r="E31" i="11"/>
  <c r="F30" i="11"/>
  <c r="H16" i="11"/>
  <c r="G16" i="11"/>
  <c r="D59" i="11" s="1"/>
  <c r="F16" i="11"/>
  <c r="F23" i="11" s="1"/>
  <c r="E60" i="11" s="1"/>
  <c r="E16" i="11"/>
  <c r="E23" i="11" s="1"/>
  <c r="F60" i="11" s="1"/>
  <c r="H15" i="11"/>
  <c r="G15" i="11"/>
  <c r="D52" i="11" s="1"/>
  <c r="F15" i="11"/>
  <c r="E15" i="11"/>
  <c r="E22" i="11" s="1"/>
  <c r="F53" i="11" s="1"/>
  <c r="H14" i="11"/>
  <c r="G14" i="11"/>
  <c r="D45" i="11" s="1"/>
  <c r="F14" i="11"/>
  <c r="E14" i="11"/>
  <c r="E21" i="11" s="1"/>
  <c r="F46" i="11" s="1"/>
  <c r="H13" i="11"/>
  <c r="G13" i="11"/>
  <c r="D38" i="11" s="1"/>
  <c r="F13" i="11"/>
  <c r="E13" i="11"/>
  <c r="E20" i="11" s="1"/>
  <c r="F39" i="11" s="1"/>
  <c r="H12" i="11"/>
  <c r="G12" i="11"/>
  <c r="D31" i="11" s="1"/>
  <c r="F12" i="11"/>
  <c r="E12" i="11"/>
  <c r="E19" i="11" s="1"/>
  <c r="F32" i="11" s="1"/>
  <c r="H10" i="11"/>
  <c r="G10" i="11"/>
  <c r="G17" i="11" s="1"/>
  <c r="F10" i="11"/>
  <c r="F17" i="11" s="1"/>
  <c r="F24" i="11" s="1"/>
  <c r="E10" i="11"/>
  <c r="H9" i="11"/>
  <c r="G9" i="11"/>
  <c r="G23" i="11" s="1"/>
  <c r="D60" i="11" s="1"/>
  <c r="G8" i="11"/>
  <c r="F8" i="11"/>
  <c r="F22" i="11" s="1"/>
  <c r="E53" i="11" s="1"/>
  <c r="G7" i="11"/>
  <c r="F7" i="11"/>
  <c r="F21" i="11" s="1"/>
  <c r="E46" i="11" s="1"/>
  <c r="G6" i="11"/>
  <c r="G20" i="11" s="1"/>
  <c r="D39" i="11" s="1"/>
  <c r="F6" i="11"/>
  <c r="E37" i="11" s="1"/>
  <c r="G5" i="11"/>
  <c r="G19" i="11" s="1"/>
  <c r="D32" i="11" s="1"/>
  <c r="F5" i="11"/>
  <c r="F19" i="11" s="1"/>
  <c r="E32" i="11" s="1"/>
  <c r="F67" i="11" l="1"/>
  <c r="D66" i="11"/>
  <c r="D73" i="11" s="1"/>
  <c r="G22" i="11"/>
  <c r="D53" i="11" s="1"/>
  <c r="H5" i="11"/>
  <c r="H6" i="11"/>
  <c r="H7" i="11"/>
  <c r="H8" i="11"/>
  <c r="E30" i="11"/>
  <c r="D37" i="11"/>
  <c r="E44" i="11"/>
  <c r="D51" i="11"/>
  <c r="F20" i="11"/>
  <c r="E39" i="11" s="1"/>
  <c r="E67" i="11" s="1"/>
  <c r="E74" i="11" s="1"/>
  <c r="E51" i="11"/>
  <c r="D58" i="11"/>
  <c r="G21" i="11"/>
  <c r="D46" i="11" s="1"/>
  <c r="D67" i="11" s="1"/>
  <c r="D74" i="11" s="1"/>
  <c r="D30" i="11"/>
  <c r="D44" i="11"/>
  <c r="C63" i="7"/>
  <c r="C70" i="7" s="1"/>
  <c r="C64" i="7"/>
  <c r="C71" i="7" s="1"/>
  <c r="C65" i="7"/>
  <c r="C72" i="7" s="1"/>
  <c r="D63" i="7"/>
  <c r="D70" i="7" s="1"/>
  <c r="D65" i="7"/>
  <c r="D72" i="7" s="1"/>
  <c r="G18" i="11"/>
  <c r="H19" i="11"/>
  <c r="H21" i="11"/>
  <c r="H22" i="11"/>
  <c r="H23" i="11"/>
  <c r="F18" i="11"/>
  <c r="E11" i="11"/>
  <c r="E17" i="11"/>
  <c r="H17" i="11" s="1"/>
  <c r="E18" i="11"/>
  <c r="H18" i="11" s="1"/>
  <c r="G24" i="11"/>
  <c r="F11" i="11"/>
  <c r="G11" i="11"/>
  <c r="H11" i="11" l="1"/>
  <c r="H20" i="11"/>
  <c r="F25" i="11"/>
  <c r="D65" i="11"/>
  <c r="D72" i="11" s="1"/>
  <c r="G25" i="11"/>
  <c r="E65" i="11"/>
  <c r="E72" i="11" s="1"/>
  <c r="E24" i="11"/>
  <c r="U40" i="8"/>
  <c r="V40" i="8"/>
  <c r="W40" i="8"/>
  <c r="X40" i="8"/>
  <c r="Y40" i="8"/>
  <c r="Z40" i="8"/>
  <c r="AA40" i="8"/>
  <c r="AB40" i="8"/>
  <c r="AC40" i="8"/>
  <c r="T41" i="8"/>
  <c r="T40" i="8"/>
  <c r="U39" i="8"/>
  <c r="V39" i="8"/>
  <c r="X39" i="8"/>
  <c r="Y39" i="8"/>
  <c r="Z39" i="8"/>
  <c r="AB39" i="8"/>
  <c r="AC39" i="8"/>
  <c r="T39" i="8"/>
  <c r="AC10" i="8"/>
  <c r="AD13" i="8"/>
  <c r="AC7" i="8"/>
  <c r="AC8" i="8"/>
  <c r="AC9" i="8"/>
  <c r="AC12" i="8"/>
  <c r="AC14" i="8"/>
  <c r="AC16" i="8"/>
  <c r="AC18" i="8"/>
  <c r="AC20" i="8"/>
  <c r="AC5" i="8"/>
  <c r="O36" i="8"/>
  <c r="AA30" i="8"/>
  <c r="W30" i="8"/>
  <c r="AA2" i="8"/>
  <c r="W2" i="8"/>
  <c r="O21" i="8"/>
  <c r="AA39" i="8" l="1"/>
  <c r="AA33" i="8"/>
  <c r="W39" i="8"/>
  <c r="W33" i="8"/>
  <c r="AD22" i="8"/>
  <c r="AD34" i="8"/>
  <c r="E25" i="11"/>
  <c r="H25" i="11" s="1"/>
  <c r="F74" i="11"/>
  <c r="AC6" i="8"/>
  <c r="AD36" i="8" l="1"/>
  <c r="AD17" i="8"/>
  <c r="AD15" i="8"/>
  <c r="AD21" i="8"/>
  <c r="AD19" i="8"/>
  <c r="AC11" i="8"/>
  <c r="AC13" i="8"/>
  <c r="AC22" i="8"/>
  <c r="AC17" i="8" l="1"/>
  <c r="AC15" i="8"/>
  <c r="AC21" i="8" l="1"/>
  <c r="AC19" i="8"/>
  <c r="AB16" i="8" l="1"/>
  <c r="X14" i="8"/>
  <c r="X12" i="8"/>
  <c r="AB12" i="8"/>
  <c r="AB7" i="8"/>
  <c r="AB8" i="8"/>
  <c r="AB9" i="8"/>
  <c r="X10" i="8"/>
  <c r="AB10" i="8"/>
  <c r="X5" i="8"/>
  <c r="AB5" i="8"/>
  <c r="T5" i="8"/>
  <c r="AC35" i="8"/>
  <c r="AB35" i="8"/>
  <c r="AB34" i="8" s="1"/>
  <c r="Z35" i="8"/>
  <c r="Z34" i="8" s="1"/>
  <c r="Y35" i="8"/>
  <c r="Y34" i="8" s="1"/>
  <c r="X35" i="8"/>
  <c r="X34" i="8" s="1"/>
  <c r="V35" i="8"/>
  <c r="V34" i="8" s="1"/>
  <c r="U35" i="8"/>
  <c r="T35" i="8"/>
  <c r="T34" i="8" s="1"/>
  <c r="AC34" i="8"/>
  <c r="U34" i="8"/>
  <c r="S34" i="8"/>
  <c r="S36" i="8" s="1"/>
  <c r="R34" i="8"/>
  <c r="R36" i="8" s="1"/>
  <c r="M36" i="8"/>
  <c r="L36" i="8"/>
  <c r="K36" i="8"/>
  <c r="J36" i="8"/>
  <c r="I36" i="8"/>
  <c r="H36" i="8"/>
  <c r="G36" i="8"/>
  <c r="F36" i="8"/>
  <c r="E36" i="8"/>
  <c r="D36" i="8"/>
  <c r="U32" i="8"/>
  <c r="AB20" i="8"/>
  <c r="Z20" i="8"/>
  <c r="Y20" i="8"/>
  <c r="X20" i="8"/>
  <c r="V20" i="8"/>
  <c r="U20" i="8"/>
  <c r="T20" i="8"/>
  <c r="AB18" i="8"/>
  <c r="Z18" i="8"/>
  <c r="Y18" i="8"/>
  <c r="X18" i="8"/>
  <c r="V18" i="8"/>
  <c r="U18" i="8"/>
  <c r="T18" i="8"/>
  <c r="Z16" i="8"/>
  <c r="Y16" i="8"/>
  <c r="V16" i="8"/>
  <c r="U16" i="8"/>
  <c r="T16" i="8"/>
  <c r="AB14" i="8"/>
  <c r="Z14" i="8"/>
  <c r="Y14" i="8"/>
  <c r="V14" i="8"/>
  <c r="U14" i="8"/>
  <c r="T14" i="8"/>
  <c r="Z12" i="8"/>
  <c r="Y12" i="8"/>
  <c r="V12" i="8"/>
  <c r="U12" i="8"/>
  <c r="T12" i="8"/>
  <c r="Z10" i="8"/>
  <c r="Y10" i="8"/>
  <c r="V10" i="8"/>
  <c r="U10" i="8"/>
  <c r="Z9" i="8"/>
  <c r="Y9" i="8"/>
  <c r="X9" i="8"/>
  <c r="V9" i="8"/>
  <c r="U9" i="8"/>
  <c r="T9" i="8"/>
  <c r="Z8" i="8"/>
  <c r="Y8" i="8"/>
  <c r="X8" i="8"/>
  <c r="V8" i="8"/>
  <c r="U8" i="8"/>
  <c r="T8" i="8"/>
  <c r="Z7" i="8"/>
  <c r="Y7" i="8"/>
  <c r="X7" i="8"/>
  <c r="V7" i="8"/>
  <c r="U7" i="8"/>
  <c r="T7" i="8"/>
  <c r="Z6" i="8"/>
  <c r="Y6" i="8"/>
  <c r="X6" i="8"/>
  <c r="V6" i="8"/>
  <c r="U6" i="8"/>
  <c r="T6" i="8"/>
  <c r="Z5" i="8"/>
  <c r="Y5" i="8"/>
  <c r="U5" i="8"/>
  <c r="AA18" i="8"/>
  <c r="W18" i="8"/>
  <c r="T13" i="8" l="1"/>
  <c r="V5" i="8"/>
  <c r="V32" i="8"/>
  <c r="U41" i="8"/>
  <c r="L45" i="8"/>
  <c r="H45" i="8"/>
  <c r="G45" i="8"/>
  <c r="K45" i="8"/>
  <c r="D45" i="8"/>
  <c r="V36" i="8"/>
  <c r="Z36" i="8"/>
  <c r="X16" i="8"/>
  <c r="AB22" i="8"/>
  <c r="AB6" i="8"/>
  <c r="T10" i="8"/>
  <c r="W22" i="8"/>
  <c r="W13" i="8"/>
  <c r="AA22" i="8"/>
  <c r="AA13" i="8"/>
  <c r="Y36" i="8"/>
  <c r="F45" i="8"/>
  <c r="J45" i="8"/>
  <c r="T17" i="8"/>
  <c r="AB36" i="8"/>
  <c r="U22" i="8"/>
  <c r="U17" i="8"/>
  <c r="U13" i="8"/>
  <c r="Y22" i="8"/>
  <c r="Y17" i="8"/>
  <c r="Y13" i="8"/>
  <c r="U36" i="8"/>
  <c r="AC36" i="8"/>
  <c r="X36" i="8"/>
  <c r="V22" i="8"/>
  <c r="V17" i="8"/>
  <c r="V13" i="8"/>
  <c r="Z22" i="8"/>
  <c r="Z17" i="8"/>
  <c r="Z13" i="8"/>
  <c r="T36" i="8"/>
  <c r="E45" i="8"/>
  <c r="I45" i="8"/>
  <c r="M45" i="8"/>
  <c r="T11" i="8"/>
  <c r="X11" i="8"/>
  <c r="AB11" i="8"/>
  <c r="W14" i="8"/>
  <c r="AA14" i="8"/>
  <c r="W5" i="8"/>
  <c r="AA5" i="8"/>
  <c r="W7" i="8"/>
  <c r="AA7" i="8"/>
  <c r="W9" i="8"/>
  <c r="AA9" i="8"/>
  <c r="U11" i="8"/>
  <c r="Y11" i="8"/>
  <c r="W12" i="8"/>
  <c r="AA12" i="8"/>
  <c r="W17" i="8"/>
  <c r="AA17" i="8"/>
  <c r="V11" i="8"/>
  <c r="Z11" i="8"/>
  <c r="W20" i="8"/>
  <c r="AA20" i="8"/>
  <c r="W35" i="8"/>
  <c r="AA35" i="8"/>
  <c r="W6" i="8"/>
  <c r="AA6" i="8"/>
  <c r="W8" i="8"/>
  <c r="AA8" i="8"/>
  <c r="W10" i="8"/>
  <c r="AA10" i="8"/>
  <c r="W11" i="8"/>
  <c r="AA11" i="8"/>
  <c r="W16" i="8"/>
  <c r="AA16" i="8"/>
  <c r="T22" i="8" l="1"/>
  <c r="X17" i="8"/>
  <c r="X22" i="8"/>
  <c r="AB13" i="8"/>
  <c r="AB17" i="8"/>
  <c r="W32" i="8"/>
  <c r="V41" i="8"/>
  <c r="X13" i="8"/>
  <c r="AA34" i="8"/>
  <c r="W34" i="8"/>
  <c r="X15" i="8"/>
  <c r="U15" i="8"/>
  <c r="V15" i="8"/>
  <c r="Y15" i="8"/>
  <c r="W15" i="8"/>
  <c r="Z15" i="8"/>
  <c r="T15" i="8"/>
  <c r="AA15" i="8"/>
  <c r="AB15" i="8" l="1"/>
  <c r="W36" i="8"/>
  <c r="X32" i="8"/>
  <c r="W41" i="8"/>
  <c r="X19" i="8"/>
  <c r="X21" i="8"/>
  <c r="W19" i="8"/>
  <c r="W21" i="8"/>
  <c r="V19" i="8"/>
  <c r="V21" i="8"/>
  <c r="AB19" i="8"/>
  <c r="AB21" i="8"/>
  <c r="Y19" i="8"/>
  <c r="Y21" i="8"/>
  <c r="U19" i="8"/>
  <c r="U21" i="8"/>
  <c r="AA19" i="8"/>
  <c r="AA21" i="8"/>
  <c r="Z19" i="8"/>
  <c r="Z21" i="8"/>
  <c r="T19" i="8"/>
  <c r="T21" i="8"/>
  <c r="AA36" i="8"/>
  <c r="Y32" i="8" l="1"/>
  <c r="X41" i="8"/>
  <c r="E45" i="2"/>
  <c r="J45" i="2" s="1"/>
  <c r="D45" i="2"/>
  <c r="E44" i="2"/>
  <c r="D44" i="2"/>
  <c r="E42" i="2"/>
  <c r="D42" i="2"/>
  <c r="I42" i="2" s="1"/>
  <c r="E41" i="2"/>
  <c r="J41" i="2" s="1"/>
  <c r="D41" i="2"/>
  <c r="I41" i="2" s="1"/>
  <c r="E40" i="2"/>
  <c r="D40" i="2"/>
  <c r="D31" i="2"/>
  <c r="I31" i="2" s="1"/>
  <c r="E31" i="2"/>
  <c r="J31" i="2" s="1"/>
  <c r="K31" i="2"/>
  <c r="D32" i="2"/>
  <c r="I32" i="2" s="1"/>
  <c r="E32" i="2"/>
  <c r="J32" i="2" s="1"/>
  <c r="D33" i="2"/>
  <c r="I33" i="2" s="1"/>
  <c r="E33" i="2"/>
  <c r="J33" i="2" s="1"/>
  <c r="K33" i="2"/>
  <c r="D34" i="2"/>
  <c r="I34" i="2" s="1"/>
  <c r="E34" i="2"/>
  <c r="J34" i="2" s="1"/>
  <c r="K34" i="2"/>
  <c r="E30" i="2"/>
  <c r="J30" i="2" s="1"/>
  <c r="K30" i="2"/>
  <c r="D30" i="2"/>
  <c r="I30" i="2" s="1"/>
  <c r="D36" i="2"/>
  <c r="E36" i="2"/>
  <c r="J36" i="2" s="1"/>
  <c r="K36" i="2"/>
  <c r="D38" i="2"/>
  <c r="I38" i="2" s="1"/>
  <c r="E38" i="2"/>
  <c r="J38" i="2" s="1"/>
  <c r="K40" i="2"/>
  <c r="K41" i="2"/>
  <c r="J42" i="2"/>
  <c r="K42" i="2"/>
  <c r="K44" i="2"/>
  <c r="I45" i="2"/>
  <c r="K45" i="2"/>
  <c r="K29" i="2"/>
  <c r="E29" i="2"/>
  <c r="J29" i="2" s="1"/>
  <c r="D29" i="2"/>
  <c r="K38" i="2"/>
  <c r="I36" i="2"/>
  <c r="K32" i="2"/>
  <c r="K105" i="2"/>
  <c r="K106" i="2"/>
  <c r="K107" i="2"/>
  <c r="K108" i="2"/>
  <c r="K109" i="2"/>
  <c r="K110" i="2"/>
  <c r="K104" i="2"/>
  <c r="K96" i="2"/>
  <c r="K97" i="2"/>
  <c r="K98" i="2"/>
  <c r="K99" i="2"/>
  <c r="K100" i="2"/>
  <c r="K101" i="2"/>
  <c r="K95" i="2"/>
  <c r="K85" i="2"/>
  <c r="K86" i="2"/>
  <c r="K87" i="2"/>
  <c r="K88" i="2"/>
  <c r="K89" i="2"/>
  <c r="K90" i="2"/>
  <c r="K91" i="2"/>
  <c r="K92" i="2"/>
  <c r="K84" i="2"/>
  <c r="K67" i="2"/>
  <c r="K68" i="2"/>
  <c r="K69" i="2"/>
  <c r="K70" i="2"/>
  <c r="K71" i="2"/>
  <c r="K72" i="2"/>
  <c r="K73" i="2"/>
  <c r="K74" i="2"/>
  <c r="K66" i="2"/>
  <c r="G65" i="2"/>
  <c r="G76" i="2" s="1"/>
  <c r="H65" i="2"/>
  <c r="H76" i="2" s="1"/>
  <c r="K63" i="2"/>
  <c r="K62" i="2"/>
  <c r="K61" i="2"/>
  <c r="K59" i="2"/>
  <c r="K58" i="2"/>
  <c r="K57" i="2"/>
  <c r="K56" i="2"/>
  <c r="K55" i="2"/>
  <c r="K54" i="2"/>
  <c r="K53" i="2"/>
  <c r="Z32" i="8" l="1"/>
  <c r="Y41" i="8"/>
  <c r="K52" i="2"/>
  <c r="K65" i="2"/>
  <c r="I29" i="2"/>
  <c r="K103" i="2"/>
  <c r="K94" i="2"/>
  <c r="K83" i="2"/>
  <c r="K82" i="2" s="1"/>
  <c r="AA32" i="8" l="1"/>
  <c r="Z41" i="8"/>
  <c r="K76" i="2"/>
  <c r="K112" i="2"/>
  <c r="AB32" i="8" l="1"/>
  <c r="AA41" i="8"/>
  <c r="AC32" i="8" l="1"/>
  <c r="AB41" i="8"/>
  <c r="AD32" i="8" l="1"/>
  <c r="AD41" i="8" s="1"/>
  <c r="AC41" i="8"/>
  <c r="F65" i="2"/>
  <c r="F52" i="2"/>
  <c r="F103" i="2"/>
  <c r="F94" i="2"/>
  <c r="F83" i="2"/>
  <c r="F82" i="2" s="1"/>
  <c r="K5" i="2"/>
  <c r="K6" i="2"/>
  <c r="K7" i="2"/>
  <c r="K8" i="2"/>
  <c r="K9" i="2"/>
  <c r="K10" i="2"/>
  <c r="K12" i="2"/>
  <c r="K14" i="2"/>
  <c r="K16" i="2"/>
  <c r="K17" i="2"/>
  <c r="K18" i="2"/>
  <c r="K20" i="2"/>
  <c r="K21" i="2"/>
  <c r="F11" i="2"/>
  <c r="F22" i="2" l="1"/>
  <c r="K46" i="2" s="1"/>
  <c r="K35" i="2"/>
  <c r="K22" i="2"/>
  <c r="F76" i="2"/>
  <c r="F112" i="2"/>
  <c r="K11" i="2"/>
  <c r="F13" i="2"/>
  <c r="K37" i="2" s="1"/>
  <c r="F15" i="2" l="1"/>
  <c r="K13" i="2"/>
  <c r="I123" i="1"/>
  <c r="J123" i="1" s="1"/>
  <c r="I98" i="1"/>
  <c r="H98" i="1"/>
  <c r="J98" i="1" l="1"/>
  <c r="J95" i="1" s="1"/>
  <c r="K39" i="2"/>
  <c r="F19" i="2"/>
  <c r="K15" i="2"/>
  <c r="K19" i="2" l="1"/>
  <c r="K43" i="2"/>
  <c r="E16" i="5" l="1"/>
  <c r="E15" i="5"/>
  <c r="E14" i="5"/>
  <c r="E12" i="5"/>
  <c r="E10" i="5"/>
  <c r="E17" i="5" s="1"/>
  <c r="P131" i="1"/>
  <c r="P132" i="1"/>
  <c r="P133" i="1"/>
  <c r="P134" i="1"/>
  <c r="P135" i="1"/>
  <c r="P136" i="1"/>
  <c r="P137" i="1"/>
  <c r="P142" i="1" s="1"/>
  <c r="P138" i="1"/>
  <c r="P139" i="1"/>
  <c r="P140" i="1"/>
  <c r="P141" i="1"/>
  <c r="P144" i="1"/>
  <c r="P145" i="1"/>
  <c r="P146" i="1"/>
  <c r="P147" i="1"/>
  <c r="P148" i="1"/>
  <c r="P149" i="1"/>
  <c r="P152" i="1"/>
  <c r="P153" i="1"/>
  <c r="P155" i="1"/>
  <c r="P157" i="1"/>
  <c r="P158" i="1"/>
  <c r="P163" i="1" s="1"/>
  <c r="P159" i="1"/>
  <c r="P160" i="1"/>
  <c r="P161" i="1"/>
  <c r="P162" i="1"/>
  <c r="P164" i="1"/>
  <c r="P165" i="1"/>
  <c r="P166" i="1"/>
  <c r="P172" i="1" s="1"/>
  <c r="P167" i="1"/>
  <c r="P168" i="1"/>
  <c r="P169" i="1"/>
  <c r="P170" i="1"/>
  <c r="P171" i="1"/>
  <c r="P174" i="1"/>
  <c r="P175" i="1"/>
  <c r="I172" i="1"/>
  <c r="I163" i="1"/>
  <c r="I150" i="1"/>
  <c r="I142" i="1"/>
  <c r="I52" i="1"/>
  <c r="I43" i="1"/>
  <c r="I151" i="1" l="1"/>
  <c r="I154" i="1" s="1"/>
  <c r="I156" i="1" s="1"/>
  <c r="P150" i="1"/>
  <c r="P151" i="1" s="1"/>
  <c r="P154" i="1" s="1"/>
  <c r="P156" i="1" s="1"/>
  <c r="P173" i="1" s="1"/>
  <c r="P176" i="1" s="1"/>
  <c r="I173" i="1"/>
  <c r="I176" i="1" s="1"/>
  <c r="I33" i="1"/>
  <c r="I32" i="1" s="1"/>
  <c r="I19" i="1"/>
  <c r="I6" i="1"/>
  <c r="I74" i="1" l="1"/>
  <c r="I76" i="1" s="1"/>
  <c r="I79" i="1" s="1"/>
  <c r="I83" i="1" l="1"/>
  <c r="J40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F15" i="5"/>
  <c r="H15" i="5"/>
  <c r="F14" i="5"/>
  <c r="H14" i="5"/>
  <c r="H16" i="5"/>
  <c r="H13" i="5"/>
  <c r="E11" i="5"/>
  <c r="H9" i="5"/>
  <c r="P32" i="1"/>
  <c r="P52" i="1"/>
  <c r="P43" i="1"/>
  <c r="P19" i="1"/>
  <c r="P6" i="1"/>
  <c r="P83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4" i="1"/>
  <c r="P85" i="1"/>
  <c r="P86" i="1"/>
  <c r="P7" i="1"/>
  <c r="P8" i="1"/>
  <c r="P9" i="1"/>
  <c r="P10" i="1"/>
  <c r="P11" i="1"/>
  <c r="P12" i="1"/>
  <c r="P14" i="1"/>
  <c r="P15" i="1"/>
  <c r="P16" i="1"/>
  <c r="P17" i="1"/>
  <c r="P20" i="1"/>
  <c r="P21" i="1"/>
  <c r="P22" i="1"/>
  <c r="P23" i="1"/>
  <c r="P24" i="1"/>
  <c r="P25" i="1"/>
  <c r="P26" i="1"/>
  <c r="P28" i="1"/>
  <c r="P34" i="1"/>
  <c r="P35" i="1"/>
  <c r="P36" i="1"/>
  <c r="P37" i="1"/>
  <c r="P38" i="1"/>
  <c r="P39" i="1"/>
  <c r="P40" i="1"/>
  <c r="P41" i="1"/>
  <c r="P44" i="1"/>
  <c r="P45" i="1"/>
  <c r="P46" i="1"/>
  <c r="P47" i="1"/>
  <c r="P48" i="1"/>
  <c r="P49" i="1"/>
  <c r="P50" i="1"/>
  <c r="P53" i="1"/>
  <c r="P54" i="1"/>
  <c r="P55" i="1"/>
  <c r="P56" i="1"/>
  <c r="P57" i="1"/>
  <c r="P58" i="1"/>
  <c r="P59" i="1"/>
  <c r="I61" i="1"/>
  <c r="I30" i="1"/>
  <c r="J44" i="2" l="1"/>
  <c r="I63" i="1"/>
  <c r="E25" i="5"/>
  <c r="H12" i="5"/>
  <c r="H10" i="5"/>
  <c r="P33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O175" i="1"/>
  <c r="N175" i="1"/>
  <c r="M175" i="1"/>
  <c r="L175" i="1"/>
  <c r="K175" i="1"/>
  <c r="O174" i="1"/>
  <c r="N174" i="1"/>
  <c r="M174" i="1"/>
  <c r="L174" i="1"/>
  <c r="K174" i="1"/>
  <c r="O171" i="1"/>
  <c r="N171" i="1"/>
  <c r="M171" i="1"/>
  <c r="L171" i="1"/>
  <c r="K171" i="1"/>
  <c r="O170" i="1"/>
  <c r="N170" i="1"/>
  <c r="M170" i="1"/>
  <c r="L170" i="1"/>
  <c r="K170" i="1"/>
  <c r="O169" i="1"/>
  <c r="N169" i="1"/>
  <c r="M169" i="1"/>
  <c r="L169" i="1"/>
  <c r="K169" i="1"/>
  <c r="O168" i="1"/>
  <c r="N168" i="1"/>
  <c r="M168" i="1"/>
  <c r="L168" i="1"/>
  <c r="K168" i="1"/>
  <c r="O167" i="1"/>
  <c r="N167" i="1"/>
  <c r="M167" i="1"/>
  <c r="L167" i="1"/>
  <c r="K167" i="1"/>
  <c r="O166" i="1"/>
  <c r="N166" i="1"/>
  <c r="M166" i="1"/>
  <c r="L166" i="1"/>
  <c r="K166" i="1"/>
  <c r="O165" i="1"/>
  <c r="N165" i="1"/>
  <c r="M165" i="1"/>
  <c r="L165" i="1"/>
  <c r="K165" i="1"/>
  <c r="O164" i="1"/>
  <c r="N164" i="1"/>
  <c r="M164" i="1"/>
  <c r="L164" i="1"/>
  <c r="K164" i="1"/>
  <c r="O162" i="1"/>
  <c r="N162" i="1"/>
  <c r="M162" i="1"/>
  <c r="L162" i="1"/>
  <c r="K162" i="1"/>
  <c r="O161" i="1"/>
  <c r="N161" i="1"/>
  <c r="M161" i="1"/>
  <c r="L161" i="1"/>
  <c r="K161" i="1"/>
  <c r="O160" i="1"/>
  <c r="N160" i="1"/>
  <c r="M160" i="1"/>
  <c r="L160" i="1"/>
  <c r="K160" i="1"/>
  <c r="O159" i="1"/>
  <c r="N159" i="1"/>
  <c r="M159" i="1"/>
  <c r="L159" i="1"/>
  <c r="K159" i="1"/>
  <c r="O158" i="1"/>
  <c r="N158" i="1"/>
  <c r="M158" i="1"/>
  <c r="L158" i="1"/>
  <c r="K158" i="1"/>
  <c r="O157" i="1"/>
  <c r="N157" i="1"/>
  <c r="M157" i="1"/>
  <c r="L157" i="1"/>
  <c r="K157" i="1"/>
  <c r="O155" i="1"/>
  <c r="N155" i="1"/>
  <c r="M155" i="1"/>
  <c r="L155" i="1"/>
  <c r="K155" i="1"/>
  <c r="O153" i="1"/>
  <c r="N153" i="1"/>
  <c r="M153" i="1"/>
  <c r="L153" i="1"/>
  <c r="K153" i="1"/>
  <c r="O152" i="1"/>
  <c r="N152" i="1"/>
  <c r="M152" i="1"/>
  <c r="L152" i="1"/>
  <c r="K152" i="1"/>
  <c r="M150" i="1"/>
  <c r="L150" i="1"/>
  <c r="K150" i="1"/>
  <c r="O149" i="1"/>
  <c r="N149" i="1"/>
  <c r="M149" i="1"/>
  <c r="L149" i="1"/>
  <c r="K149" i="1"/>
  <c r="O148" i="1"/>
  <c r="N148" i="1"/>
  <c r="M148" i="1"/>
  <c r="L148" i="1"/>
  <c r="K148" i="1"/>
  <c r="O147" i="1"/>
  <c r="N147" i="1"/>
  <c r="M147" i="1"/>
  <c r="L147" i="1"/>
  <c r="K147" i="1"/>
  <c r="O146" i="1"/>
  <c r="N146" i="1"/>
  <c r="M146" i="1"/>
  <c r="L146" i="1"/>
  <c r="K146" i="1"/>
  <c r="O145" i="1"/>
  <c r="N145" i="1"/>
  <c r="M145" i="1"/>
  <c r="L145" i="1"/>
  <c r="K145" i="1"/>
  <c r="O144" i="1"/>
  <c r="N144" i="1"/>
  <c r="M144" i="1"/>
  <c r="L144" i="1"/>
  <c r="K144" i="1"/>
  <c r="K132" i="1"/>
  <c r="L132" i="1"/>
  <c r="M132" i="1"/>
  <c r="N132" i="1"/>
  <c r="O132" i="1"/>
  <c r="K133" i="1"/>
  <c r="L133" i="1"/>
  <c r="M133" i="1"/>
  <c r="N133" i="1"/>
  <c r="O133" i="1"/>
  <c r="K134" i="1"/>
  <c r="L134" i="1"/>
  <c r="M134" i="1"/>
  <c r="N134" i="1"/>
  <c r="O134" i="1"/>
  <c r="K135" i="1"/>
  <c r="L135" i="1"/>
  <c r="M135" i="1"/>
  <c r="N135" i="1"/>
  <c r="O135" i="1"/>
  <c r="K136" i="1"/>
  <c r="L136" i="1"/>
  <c r="M136" i="1"/>
  <c r="N136" i="1"/>
  <c r="O136" i="1"/>
  <c r="K137" i="1"/>
  <c r="L137" i="1"/>
  <c r="M137" i="1"/>
  <c r="N137" i="1"/>
  <c r="O137" i="1"/>
  <c r="K138" i="1"/>
  <c r="L138" i="1"/>
  <c r="M138" i="1"/>
  <c r="N138" i="1"/>
  <c r="O138" i="1"/>
  <c r="K139" i="1"/>
  <c r="L139" i="1"/>
  <c r="M139" i="1"/>
  <c r="N139" i="1"/>
  <c r="O139" i="1"/>
  <c r="K140" i="1"/>
  <c r="L140" i="1"/>
  <c r="M140" i="1"/>
  <c r="N140" i="1"/>
  <c r="O140" i="1"/>
  <c r="K141" i="1"/>
  <c r="L141" i="1"/>
  <c r="M141" i="1"/>
  <c r="N141" i="1"/>
  <c r="O141" i="1"/>
  <c r="L131" i="1"/>
  <c r="M131" i="1"/>
  <c r="N131" i="1"/>
  <c r="O131" i="1"/>
  <c r="K131" i="1"/>
  <c r="H150" i="1"/>
  <c r="O150" i="1" s="1"/>
  <c r="G150" i="1"/>
  <c r="N150" i="1" s="1"/>
  <c r="D172" i="1"/>
  <c r="E172" i="1"/>
  <c r="F172" i="1"/>
  <c r="D163" i="1"/>
  <c r="E163" i="1"/>
  <c r="F163" i="1"/>
  <c r="D142" i="1"/>
  <c r="D151" i="1" s="1"/>
  <c r="D154" i="1" s="1"/>
  <c r="D156" i="1"/>
  <c r="E142" i="1"/>
  <c r="E151" i="1" s="1"/>
  <c r="E154" i="1" s="1"/>
  <c r="E156" i="1" s="1"/>
  <c r="F142" i="1"/>
  <c r="F151" i="1" s="1"/>
  <c r="F154" i="1" s="1"/>
  <c r="F156" i="1" s="1"/>
  <c r="F173" i="1" s="1"/>
  <c r="F176" i="1" s="1"/>
  <c r="H172" i="1"/>
  <c r="G172" i="1"/>
  <c r="H163" i="1"/>
  <c r="G163" i="1"/>
  <c r="H142" i="1"/>
  <c r="G142" i="1"/>
  <c r="I90" i="2"/>
  <c r="I85" i="2"/>
  <c r="I74" i="2"/>
  <c r="I110" i="2"/>
  <c r="I109" i="2"/>
  <c r="I108" i="2"/>
  <c r="I107" i="2"/>
  <c r="I106" i="2"/>
  <c r="I105" i="2"/>
  <c r="I104" i="2"/>
  <c r="I101" i="2"/>
  <c r="I100" i="2"/>
  <c r="I99" i="2"/>
  <c r="I98" i="2"/>
  <c r="I97" i="2"/>
  <c r="I96" i="2"/>
  <c r="I95" i="2"/>
  <c r="I92" i="2"/>
  <c r="I89" i="2"/>
  <c r="I88" i="2"/>
  <c r="I87" i="2"/>
  <c r="I86" i="2"/>
  <c r="I84" i="2"/>
  <c r="I72" i="2"/>
  <c r="I71" i="2"/>
  <c r="I70" i="2"/>
  <c r="I69" i="2"/>
  <c r="I68" i="2"/>
  <c r="I67" i="2"/>
  <c r="I66" i="2"/>
  <c r="I63" i="2"/>
  <c r="I62" i="2"/>
  <c r="I61" i="2"/>
  <c r="I58" i="2"/>
  <c r="I57" i="2"/>
  <c r="I56" i="2"/>
  <c r="I55" i="2"/>
  <c r="I54" i="2"/>
  <c r="I53" i="2"/>
  <c r="J110" i="2"/>
  <c r="J109" i="2"/>
  <c r="J108" i="2"/>
  <c r="J107" i="2"/>
  <c r="J106" i="2"/>
  <c r="J105" i="2"/>
  <c r="J104" i="2"/>
  <c r="J101" i="2"/>
  <c r="J100" i="2"/>
  <c r="J99" i="2"/>
  <c r="J98" i="2"/>
  <c r="J97" i="2"/>
  <c r="J96" i="2"/>
  <c r="J95" i="2"/>
  <c r="J92" i="2"/>
  <c r="J90" i="2"/>
  <c r="J89" i="2"/>
  <c r="J88" i="2"/>
  <c r="J87" i="2"/>
  <c r="J86" i="2"/>
  <c r="J85" i="2"/>
  <c r="J84" i="2"/>
  <c r="J74" i="2"/>
  <c r="J72" i="2"/>
  <c r="J71" i="2"/>
  <c r="J70" i="2"/>
  <c r="J69" i="2"/>
  <c r="J68" i="2"/>
  <c r="J67" i="2"/>
  <c r="J66" i="2"/>
  <c r="J54" i="2"/>
  <c r="J55" i="2"/>
  <c r="J56" i="2"/>
  <c r="J57" i="2"/>
  <c r="J58" i="2"/>
  <c r="J61" i="2"/>
  <c r="J62" i="2"/>
  <c r="J63" i="2"/>
  <c r="J53" i="2"/>
  <c r="D52" i="2"/>
  <c r="D65" i="2"/>
  <c r="D103" i="2"/>
  <c r="D94" i="2"/>
  <c r="D83" i="2"/>
  <c r="D82" i="2" s="1"/>
  <c r="J5" i="2"/>
  <c r="J6" i="2"/>
  <c r="J7" i="2"/>
  <c r="J8" i="2"/>
  <c r="J9" i="2"/>
  <c r="J10" i="2"/>
  <c r="J12" i="2"/>
  <c r="J14" i="2"/>
  <c r="J16" i="2"/>
  <c r="J17" i="2"/>
  <c r="J18" i="2"/>
  <c r="J20" i="2"/>
  <c r="J21" i="2"/>
  <c r="I6" i="2"/>
  <c r="I7" i="2"/>
  <c r="I8" i="2"/>
  <c r="I9" i="2"/>
  <c r="I10" i="2"/>
  <c r="I12" i="2"/>
  <c r="I14" i="2"/>
  <c r="I16" i="2"/>
  <c r="I17" i="2"/>
  <c r="I18" i="2"/>
  <c r="I20" i="2"/>
  <c r="I21" i="2"/>
  <c r="I5" i="2"/>
  <c r="E103" i="2"/>
  <c r="E94" i="2"/>
  <c r="E83" i="2"/>
  <c r="E82" i="2" s="1"/>
  <c r="E65" i="2"/>
  <c r="E52" i="2"/>
  <c r="D11" i="2"/>
  <c r="N123" i="1"/>
  <c r="M123" i="1"/>
  <c r="L123" i="1"/>
  <c r="K123" i="1"/>
  <c r="L121" i="1"/>
  <c r="M121" i="1"/>
  <c r="N121" i="1"/>
  <c r="L122" i="1"/>
  <c r="M122" i="1"/>
  <c r="N122" i="1"/>
  <c r="K122" i="1"/>
  <c r="K121" i="1"/>
  <c r="K99" i="1"/>
  <c r="L99" i="1"/>
  <c r="M99" i="1"/>
  <c r="N99" i="1"/>
  <c r="K101" i="1"/>
  <c r="L101" i="1"/>
  <c r="M101" i="1"/>
  <c r="N101" i="1"/>
  <c r="K102" i="1"/>
  <c r="L102" i="1"/>
  <c r="M102" i="1"/>
  <c r="N102" i="1"/>
  <c r="K103" i="1"/>
  <c r="L103" i="1"/>
  <c r="M103" i="1"/>
  <c r="N103" i="1"/>
  <c r="K105" i="1"/>
  <c r="L105" i="1"/>
  <c r="M105" i="1"/>
  <c r="N105" i="1"/>
  <c r="L106" i="1"/>
  <c r="M106" i="1"/>
  <c r="N106" i="1"/>
  <c r="K108" i="1"/>
  <c r="L108" i="1"/>
  <c r="M108" i="1"/>
  <c r="N108" i="1"/>
  <c r="K110" i="1"/>
  <c r="L110" i="1"/>
  <c r="M110" i="1"/>
  <c r="N110" i="1"/>
  <c r="K112" i="1"/>
  <c r="L112" i="1"/>
  <c r="M112" i="1"/>
  <c r="N112" i="1"/>
  <c r="K113" i="1"/>
  <c r="L113" i="1"/>
  <c r="M113" i="1"/>
  <c r="N113" i="1"/>
  <c r="K114" i="1"/>
  <c r="L114" i="1"/>
  <c r="M114" i="1"/>
  <c r="N114" i="1"/>
  <c r="K115" i="1"/>
  <c r="L115" i="1"/>
  <c r="M115" i="1"/>
  <c r="N115" i="1"/>
  <c r="K116" i="1"/>
  <c r="L116" i="1"/>
  <c r="M116" i="1"/>
  <c r="N116" i="1"/>
  <c r="K118" i="1"/>
  <c r="L118" i="1"/>
  <c r="M118" i="1"/>
  <c r="N118" i="1"/>
  <c r="K119" i="1"/>
  <c r="L119" i="1"/>
  <c r="M119" i="1"/>
  <c r="N119" i="1"/>
  <c r="L98" i="1"/>
  <c r="M98" i="1"/>
  <c r="N98" i="1"/>
  <c r="K98" i="1"/>
  <c r="O68" i="1"/>
  <c r="O69" i="1"/>
  <c r="O70" i="1"/>
  <c r="O71" i="1"/>
  <c r="O72" i="1"/>
  <c r="O73" i="1"/>
  <c r="O75" i="1"/>
  <c r="O77" i="1"/>
  <c r="O80" i="1"/>
  <c r="O81" i="1"/>
  <c r="O82" i="1"/>
  <c r="O84" i="1"/>
  <c r="O85" i="1"/>
  <c r="N69" i="1"/>
  <c r="N70" i="1"/>
  <c r="N71" i="1"/>
  <c r="N72" i="1"/>
  <c r="N73" i="1"/>
  <c r="N75" i="1"/>
  <c r="N77" i="1"/>
  <c r="N80" i="1"/>
  <c r="N81" i="1"/>
  <c r="N82" i="1"/>
  <c r="N84" i="1"/>
  <c r="N85" i="1"/>
  <c r="N68" i="1"/>
  <c r="G74" i="1"/>
  <c r="G86" i="1" s="1"/>
  <c r="N86" i="1" s="1"/>
  <c r="G107" i="1"/>
  <c r="N107" i="1" s="1"/>
  <c r="E107" i="1"/>
  <c r="L107" i="1" s="1"/>
  <c r="F107" i="1"/>
  <c r="M107" i="1" s="1"/>
  <c r="E11" i="2"/>
  <c r="H74" i="1"/>
  <c r="O74" i="1" s="1"/>
  <c r="D106" i="1"/>
  <c r="K106" i="1" s="1"/>
  <c r="G100" i="1"/>
  <c r="F100" i="1"/>
  <c r="F104" i="1" s="1"/>
  <c r="E100" i="1"/>
  <c r="L100" i="1" s="1"/>
  <c r="D100" i="1"/>
  <c r="O59" i="1"/>
  <c r="N59" i="1"/>
  <c r="M59" i="1"/>
  <c r="L59" i="1"/>
  <c r="K59" i="1"/>
  <c r="O58" i="1"/>
  <c r="N58" i="1"/>
  <c r="M58" i="1"/>
  <c r="L58" i="1"/>
  <c r="K58" i="1"/>
  <c r="O57" i="1"/>
  <c r="N57" i="1"/>
  <c r="M57" i="1"/>
  <c r="L57" i="1"/>
  <c r="K57" i="1"/>
  <c r="O56" i="1"/>
  <c r="N56" i="1"/>
  <c r="M56" i="1"/>
  <c r="L56" i="1"/>
  <c r="K56" i="1"/>
  <c r="O55" i="1"/>
  <c r="N55" i="1"/>
  <c r="M55" i="1"/>
  <c r="L55" i="1"/>
  <c r="K55" i="1"/>
  <c r="O54" i="1"/>
  <c r="N54" i="1"/>
  <c r="M54" i="1"/>
  <c r="L54" i="1"/>
  <c r="K54" i="1"/>
  <c r="O53" i="1"/>
  <c r="N53" i="1"/>
  <c r="M53" i="1"/>
  <c r="L53" i="1"/>
  <c r="K53" i="1"/>
  <c r="O50" i="1"/>
  <c r="N50" i="1"/>
  <c r="M50" i="1"/>
  <c r="L50" i="1"/>
  <c r="K50" i="1"/>
  <c r="O49" i="1"/>
  <c r="N49" i="1"/>
  <c r="M49" i="1"/>
  <c r="L49" i="1"/>
  <c r="K49" i="1"/>
  <c r="O48" i="1"/>
  <c r="N48" i="1"/>
  <c r="M48" i="1"/>
  <c r="L48" i="1"/>
  <c r="K48" i="1"/>
  <c r="O47" i="1"/>
  <c r="N47" i="1"/>
  <c r="M47" i="1"/>
  <c r="L47" i="1"/>
  <c r="K47" i="1"/>
  <c r="O46" i="1"/>
  <c r="N46" i="1"/>
  <c r="M46" i="1"/>
  <c r="L46" i="1"/>
  <c r="K46" i="1"/>
  <c r="O45" i="1"/>
  <c r="N45" i="1"/>
  <c r="M45" i="1"/>
  <c r="L45" i="1"/>
  <c r="K45" i="1"/>
  <c r="O44" i="1"/>
  <c r="N44" i="1"/>
  <c r="M44" i="1"/>
  <c r="L44" i="1"/>
  <c r="K44" i="1"/>
  <c r="O41" i="1"/>
  <c r="N41" i="1"/>
  <c r="M41" i="1"/>
  <c r="L41" i="1"/>
  <c r="K41" i="1"/>
  <c r="O40" i="1"/>
  <c r="N40" i="1"/>
  <c r="M40" i="1"/>
  <c r="L40" i="1"/>
  <c r="K40" i="1"/>
  <c r="O39" i="1"/>
  <c r="N39" i="1"/>
  <c r="M39" i="1"/>
  <c r="L39" i="1"/>
  <c r="K39" i="1"/>
  <c r="O38" i="1"/>
  <c r="N38" i="1"/>
  <c r="M38" i="1"/>
  <c r="L38" i="1"/>
  <c r="K38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O34" i="1"/>
  <c r="N34" i="1"/>
  <c r="M34" i="1"/>
  <c r="L34" i="1"/>
  <c r="K34" i="1"/>
  <c r="O28" i="1"/>
  <c r="N28" i="1"/>
  <c r="M28" i="1"/>
  <c r="L28" i="1"/>
  <c r="K28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K8" i="1"/>
  <c r="K9" i="1"/>
  <c r="K10" i="1"/>
  <c r="K11" i="1"/>
  <c r="K12" i="1"/>
  <c r="K14" i="1"/>
  <c r="K15" i="1"/>
  <c r="K16" i="1"/>
  <c r="K17" i="1"/>
  <c r="K7" i="1"/>
  <c r="D6" i="1"/>
  <c r="E6" i="1"/>
  <c r="F6" i="1"/>
  <c r="G6" i="1"/>
  <c r="D33" i="1"/>
  <c r="D32" i="1" s="1"/>
  <c r="E33" i="1"/>
  <c r="E32" i="1" s="1"/>
  <c r="F33" i="1"/>
  <c r="F32" i="1" s="1"/>
  <c r="G33" i="1"/>
  <c r="G32" i="1" s="1"/>
  <c r="D52" i="1"/>
  <c r="E52" i="1"/>
  <c r="F52" i="1"/>
  <c r="G52" i="1"/>
  <c r="D43" i="1"/>
  <c r="E43" i="1"/>
  <c r="F43" i="1"/>
  <c r="F61" i="1"/>
  <c r="D19" i="1"/>
  <c r="D30" i="1" s="1"/>
  <c r="E19" i="1"/>
  <c r="E30" i="1" s="1"/>
  <c r="F19" i="1"/>
  <c r="H52" i="1"/>
  <c r="H43" i="1"/>
  <c r="G43" i="1"/>
  <c r="H33" i="1"/>
  <c r="H32" i="1" s="1"/>
  <c r="H19" i="1"/>
  <c r="H30" i="1" s="1"/>
  <c r="G19" i="1"/>
  <c r="H6" i="1"/>
  <c r="G23" i="5" l="1"/>
  <c r="G22" i="5"/>
  <c r="J52" i="2"/>
  <c r="I65" i="2"/>
  <c r="G76" i="1"/>
  <c r="N76" i="1" s="1"/>
  <c r="M172" i="1"/>
  <c r="K163" i="1"/>
  <c r="K33" i="1"/>
  <c r="K32" i="1" s="1"/>
  <c r="L33" i="1"/>
  <c r="L32" i="1" s="1"/>
  <c r="O6" i="1"/>
  <c r="D35" i="2"/>
  <c r="I35" i="2" s="1"/>
  <c r="J11" i="2"/>
  <c r="E35" i="2"/>
  <c r="J35" i="2" s="1"/>
  <c r="J65" i="2"/>
  <c r="J76" i="2" s="1"/>
  <c r="I52" i="2"/>
  <c r="I76" i="2" s="1"/>
  <c r="G20" i="5"/>
  <c r="G11" i="5"/>
  <c r="E112" i="2"/>
  <c r="D112" i="2"/>
  <c r="J103" i="2"/>
  <c r="J83" i="2"/>
  <c r="J82" i="2" s="1"/>
  <c r="J94" i="2"/>
  <c r="I103" i="2"/>
  <c r="E13" i="2"/>
  <c r="E76" i="2"/>
  <c r="D76" i="2"/>
  <c r="I94" i="2"/>
  <c r="E22" i="2"/>
  <c r="L6" i="1"/>
  <c r="M52" i="1"/>
  <c r="N52" i="1"/>
  <c r="O43" i="1"/>
  <c r="M43" i="1"/>
  <c r="N33" i="1"/>
  <c r="N32" i="1" s="1"/>
  <c r="F30" i="1"/>
  <c r="F63" i="1" s="1"/>
  <c r="N6" i="1"/>
  <c r="F21" i="5"/>
  <c r="H21" i="5" s="1"/>
  <c r="H7" i="5"/>
  <c r="G19" i="5"/>
  <c r="F22" i="5"/>
  <c r="H22" i="5" s="1"/>
  <c r="F11" i="5"/>
  <c r="H11" i="5" s="1"/>
  <c r="L19" i="1"/>
  <c r="O19" i="1"/>
  <c r="K43" i="1"/>
  <c r="F109" i="1"/>
  <c r="G79" i="1"/>
  <c r="M104" i="1"/>
  <c r="D173" i="1"/>
  <c r="D176" i="1" s="1"/>
  <c r="M19" i="1"/>
  <c r="K19" i="1"/>
  <c r="M33" i="1"/>
  <c r="M32" i="1" s="1"/>
  <c r="O33" i="1"/>
  <c r="O32" i="1" s="1"/>
  <c r="L43" i="1"/>
  <c r="L52" i="1"/>
  <c r="G30" i="1"/>
  <c r="G61" i="1"/>
  <c r="K52" i="1"/>
  <c r="O52" i="1"/>
  <c r="E104" i="1"/>
  <c r="N74" i="1"/>
  <c r="M100" i="1"/>
  <c r="P61" i="1"/>
  <c r="H61" i="1"/>
  <c r="H63" i="1" s="1"/>
  <c r="K6" i="1"/>
  <c r="M6" i="1"/>
  <c r="D61" i="1"/>
  <c r="D63" i="1" s="1"/>
  <c r="D107" i="1"/>
  <c r="K107" i="1" s="1"/>
  <c r="G151" i="1"/>
  <c r="G154" i="1" s="1"/>
  <c r="G156" i="1" s="1"/>
  <c r="E173" i="1"/>
  <c r="E176" i="1" s="1"/>
  <c r="K142" i="1"/>
  <c r="K151" i="1" s="1"/>
  <c r="K154" i="1" s="1"/>
  <c r="K156" i="1" s="1"/>
  <c r="N142" i="1"/>
  <c r="N151" i="1" s="1"/>
  <c r="N154" i="1" s="1"/>
  <c r="N156" i="1" s="1"/>
  <c r="M142" i="1"/>
  <c r="O163" i="1"/>
  <c r="M163" i="1"/>
  <c r="L172" i="1"/>
  <c r="O172" i="1"/>
  <c r="P30" i="1"/>
  <c r="L142" i="1"/>
  <c r="L151" i="1" s="1"/>
  <c r="L154" i="1" s="1"/>
  <c r="L156" i="1" s="1"/>
  <c r="I11" i="2"/>
  <c r="D13" i="2"/>
  <c r="D22" i="2"/>
  <c r="O142" i="1"/>
  <c r="O151" i="1" s="1"/>
  <c r="O154" i="1" s="1"/>
  <c r="O156" i="1" s="1"/>
  <c r="O173" i="1" s="1"/>
  <c r="O176" i="1" s="1"/>
  <c r="D104" i="1"/>
  <c r="K100" i="1"/>
  <c r="G173" i="1"/>
  <c r="G176" i="1" s="1"/>
  <c r="L163" i="1"/>
  <c r="N172" i="1"/>
  <c r="N100" i="1"/>
  <c r="G104" i="1"/>
  <c r="E61" i="1"/>
  <c r="E63" i="1" s="1"/>
  <c r="N19" i="1"/>
  <c r="N43" i="1"/>
  <c r="H76" i="1"/>
  <c r="H86" i="1"/>
  <c r="G83" i="1"/>
  <c r="N83" i="1" s="1"/>
  <c r="N79" i="1"/>
  <c r="I83" i="2"/>
  <c r="I82" i="2" s="1"/>
  <c r="M151" i="1"/>
  <c r="M154" i="1" s="1"/>
  <c r="M156" i="1" s="1"/>
  <c r="M173" i="1" s="1"/>
  <c r="M176" i="1" s="1"/>
  <c r="N163" i="1"/>
  <c r="K172" i="1"/>
  <c r="K173" i="1" s="1"/>
  <c r="K176" i="1" s="1"/>
  <c r="H151" i="1"/>
  <c r="H154" i="1" s="1"/>
  <c r="H156" i="1" s="1"/>
  <c r="H173" i="1" s="1"/>
  <c r="H176" i="1" s="1"/>
  <c r="F18" i="5"/>
  <c r="H18" i="5" s="1"/>
  <c r="G18" i="5"/>
  <c r="F24" i="5"/>
  <c r="F19" i="5"/>
  <c r="H19" i="5" s="1"/>
  <c r="F20" i="5"/>
  <c r="H20" i="5" s="1"/>
  <c r="G25" i="5" l="1"/>
  <c r="E46" i="2"/>
  <c r="J46" i="2" s="1"/>
  <c r="D46" i="2"/>
  <c r="I46" i="2"/>
  <c r="D37" i="2"/>
  <c r="I37" i="2" s="1"/>
  <c r="N30" i="1"/>
  <c r="M61" i="1"/>
  <c r="O30" i="1"/>
  <c r="L30" i="1"/>
  <c r="O86" i="1"/>
  <c r="H123" i="1"/>
  <c r="J13" i="2"/>
  <c r="E37" i="2"/>
  <c r="J37" i="2" s="1"/>
  <c r="J22" i="2"/>
  <c r="I22" i="2"/>
  <c r="I112" i="2"/>
  <c r="E15" i="2"/>
  <c r="E39" i="2" s="1"/>
  <c r="J112" i="2"/>
  <c r="K61" i="1"/>
  <c r="K63" i="1" s="1"/>
  <c r="M30" i="1"/>
  <c r="K30" i="1"/>
  <c r="L61" i="1"/>
  <c r="N61" i="1"/>
  <c r="N63" i="1" s="1"/>
  <c r="O61" i="1"/>
  <c r="O63" i="1" s="1"/>
  <c r="L104" i="1"/>
  <c r="E109" i="1"/>
  <c r="G63" i="1"/>
  <c r="L173" i="1"/>
  <c r="L176" i="1" s="1"/>
  <c r="M109" i="1"/>
  <c r="F111" i="1"/>
  <c r="P63" i="1"/>
  <c r="N173" i="1"/>
  <c r="N176" i="1" s="1"/>
  <c r="I13" i="2"/>
  <c r="D15" i="2"/>
  <c r="F25" i="5"/>
  <c r="H25" i="5" s="1"/>
  <c r="O76" i="1"/>
  <c r="H79" i="1"/>
  <c r="D39" i="2" s="1"/>
  <c r="N104" i="1"/>
  <c r="G109" i="1"/>
  <c r="K104" i="1"/>
  <c r="D109" i="1"/>
  <c r="M63" i="1" l="1"/>
  <c r="L63" i="1"/>
  <c r="I40" i="2"/>
  <c r="J39" i="2"/>
  <c r="I39" i="2"/>
  <c r="E19" i="2"/>
  <c r="E43" i="2" s="1"/>
  <c r="J15" i="2"/>
  <c r="F117" i="1"/>
  <c r="M117" i="1" s="1"/>
  <c r="M111" i="1"/>
  <c r="E111" i="1"/>
  <c r="L109" i="1"/>
  <c r="K109" i="1"/>
  <c r="D111" i="1"/>
  <c r="D19" i="2"/>
  <c r="I15" i="2"/>
  <c r="O79" i="1"/>
  <c r="H83" i="1"/>
  <c r="D43" i="2" s="1"/>
  <c r="G111" i="1"/>
  <c r="N109" i="1"/>
  <c r="O83" i="1" l="1"/>
  <c r="I44" i="2"/>
  <c r="I19" i="2"/>
  <c r="I43" i="2"/>
  <c r="J19" i="2"/>
  <c r="J43" i="2"/>
  <c r="L111" i="1"/>
  <c r="E117" i="1"/>
  <c r="L117" i="1" s="1"/>
  <c r="N111" i="1"/>
  <c r="G117" i="1"/>
  <c r="N117" i="1" s="1"/>
  <c r="K111" i="1"/>
  <c r="D117" i="1"/>
  <c r="K1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0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sharedStrings.xml><?xml version="1.0" encoding="utf-8"?>
<sst xmlns="http://schemas.openxmlformats.org/spreadsheetml/2006/main" count="969" uniqueCount="337">
  <si>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</si>
  <si>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</si>
  <si>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</si>
  <si>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</si>
  <si>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</si>
  <si>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</si>
  <si>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</si>
  <si>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</si>
  <si>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</si>
  <si>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</si>
  <si>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</si>
  <si>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</si>
  <si>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</si>
  <si>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</si>
  <si>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</si>
  <si>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</si>
  <si>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</si>
  <si>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</si>
  <si>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</si>
  <si>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</si>
  <si>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</si>
  <si>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</si>
  <si>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</si>
  <si>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</si>
  <si>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</si>
  <si>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</si>
  <si>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</si>
  <si>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</si>
  <si>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</si>
  <si>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</si>
  <si>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</si>
  <si>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</si>
  <si>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</si>
  <si>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</si>
  <si>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</si>
  <si>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</si>
  <si>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</si>
  <si>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</si>
  <si>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</si>
  <si>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</si>
  <si>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</si>
  <si>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</si>
  <si>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</si>
  <si>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</si>
  <si>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</si>
  <si>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</si>
  <si>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</si>
  <si>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</si>
  <si>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</si>
  <si>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</si>
  <si>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</si>
  <si>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</si>
  <si>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</si>
  <si>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</si>
  <si>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</si>
  <si>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</si>
  <si>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</si>
  <si>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</si>
  <si>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</si>
  <si>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</si>
  <si>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</si>
  <si>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</si>
  <si>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</si>
  <si>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</si>
  <si>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</si>
  <si>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</si>
  <si>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</si>
  <si>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</si>
  <si>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</si>
  <si>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</si>
  <si>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</si>
  <si>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</si>
  <si>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</si>
  <si>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</si>
  <si>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</si>
  <si>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</si>
  <si>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</si>
  <si>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</si>
  <si>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</si>
  <si>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</si>
  <si>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</si>
  <si>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</si>
  <si>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</si>
  <si>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</si>
  <si>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</si>
  <si>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</si>
  <si>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</si>
  <si>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</si>
  <si>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</si>
  <si>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</si>
  <si>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</si>
  <si>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</si>
  <si>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</si>
  <si>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</si>
  <si>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</si>
  <si>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</si>
  <si>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</si>
  <si>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</si>
  <si>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</si>
  <si>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</si>
  <si>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</si>
  <si>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</si>
  <si>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</si>
  <si>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</si>
  <si>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</si>
  <si>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</si>
  <si>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</si>
  <si>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</si>
  <si>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</si>
  <si>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</si>
  <si>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</si>
  <si>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</si>
  <si>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</si>
  <si>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</si>
  <si>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</si>
  <si>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</si>
  <si>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</si>
  <si>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</si>
  <si>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</si>
  <si>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</si>
  <si>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</si>
  <si>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</si>
  <si>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</si>
  <si>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</si>
  <si>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</si>
  <si>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</si>
  <si>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</si>
  <si>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</si>
  <si>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</si>
  <si>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</si>
  <si>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</si>
  <si>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</si>
  <si>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</si>
  <si>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</si>
  <si>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</si>
  <si>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</si>
  <si>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</si>
  <si>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</si>
  <si>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</si>
  <si>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</si>
  <si>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</si>
  <si>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</si>
  <si>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</si>
  <si>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</si>
  <si>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</si>
  <si>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</si>
  <si>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</si>
  <si>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</si>
  <si>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</si>
  <si>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</si>
  <si>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</si>
  <si>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</si>
  <si>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</si>
  <si>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</si>
  <si>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</si>
  <si>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</si>
  <si>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</si>
  <si>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</si>
  <si>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</si>
  <si>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</si>
  <si>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</si>
  <si>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</si>
  <si>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</si>
  <si>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</si>
  <si>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</si>
  <si>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</si>
  <si>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</si>
  <si>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</si>
  <si>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</si>
  <si>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</si>
  <si>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</si>
  <si>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</si>
  <si>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</si>
  <si>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</si>
  <si>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</si>
  <si>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</si>
  <si>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</si>
  <si>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</si>
  <si>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</si>
  <si>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</si>
  <si>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</si>
  <si>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</si>
  <si>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</si>
  <si>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</si>
  <si>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</si>
  <si>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</si>
  <si>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</si>
  <si>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Pénzmozgással nem járó tételek:</t>
  </si>
  <si>
    <t>Non-cash items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</si>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</sst>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2" formatCode="0.0%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</cellStyleXfs>
  <cellXfs count="219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9" fontId="1" fillId="0" borderId="0" xfId="4" applyNumberFormat="1" applyAlignment="1">
      <alignment horizontal="right" indent="1"/>
    </xf>
    <xf numFmtId="167" fontId="0" fillId="0" borderId="0" xfId="4" applyFont="1" applyAlignment="1">
      <alignment horizontal="left" indent="1"/>
    </xf>
    <xf numFmtId="169" fontId="16" fillId="0" borderId="2" xfId="4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2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70" fontId="21" fillId="7" borderId="7" xfId="1" applyNumberFormat="1" applyFont="1" applyFill="1" applyBorder="1" applyAlignment="1">
      <alignment horizontal="right" vertical="top"/>
    </xf>
    <xf numFmtId="170" fontId="21" fillId="7" borderId="10" xfId="1" applyNumberFormat="1" applyFont="1" applyFill="1" applyBorder="1" applyAlignment="1">
      <alignment horizontal="right"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13" fillId="9" borderId="0" xfId="4" applyFont="1" applyFill="1" applyBorder="1" applyAlignment="1">
      <alignment horizontal="right" vertical="top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 vertical="top"/>
    </xf>
    <xf numFmtId="167" fontId="1" fillId="9" borderId="0" xfId="4" applyFill="1" applyBorder="1" applyAlignment="1">
      <alignment horizontal="right" vertical="top"/>
    </xf>
    <xf numFmtId="170" fontId="19" fillId="9" borderId="0" xfId="1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/>
    </xf>
    <xf numFmtId="170" fontId="21" fillId="9" borderId="0" xfId="1" applyNumberFormat="1" applyFont="1" applyFill="1" applyBorder="1" applyAlignment="1">
      <alignment horizontal="right" vertical="top" wrapText="1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0" fontId="0" fillId="10" borderId="0" xfId="0" applyFill="1" applyAlignment="1">
      <alignment vertical="top" wrapText="1"/>
    </xf>
    <xf numFmtId="167" fontId="14" fillId="11" borderId="0" xfId="4" applyFont="1" applyFill="1" applyAlignment="1">
      <alignment vertical="top" wrapText="1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1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24">
    <cellStyle name="Ezres" xfId="1" builtinId="3"/>
    <cellStyle name="Ezres 2" xfId="9" xr:uid="{FD3565E6-62E9-4DCC-B33E-77FABAE781B3}"/>
    <cellStyle name="Ezres 2 2" xfId="13" xr:uid="{80E2AA8C-7663-4E4F-BF16-50EDA40F3220}"/>
    <cellStyle name="Ezres 2 3" xfId="18" xr:uid="{F2FA567E-A1B0-4018-8AC6-7DB6953B166B}"/>
    <cellStyle name="Ezres 2 4" xfId="20" xr:uid="{24023BDA-49A9-46A1-9918-D88123D8236C}"/>
    <cellStyle name="Ezres 3" xfId="7" xr:uid="{24660899-AEF3-4DA4-9711-C8AD3F5F519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2" xfId="8" xr:uid="{6C8E908C-2AE7-4817-A6A9-C09991F78149}"/>
    <cellStyle name="Normál 2 2" xfId="12" xr:uid="{D5EC7E42-16C9-4108-830B-2F869403BBAF}"/>
    <cellStyle name="Normál 2 2 2" xfId="22" xr:uid="{4BD0056D-EC21-4A7B-BB5C-7634B7DF8988}"/>
    <cellStyle name="Normál 2 3" xfId="19" xr:uid="{F5FD43CA-7D37-4641-8E0E-B633B17C9784}"/>
    <cellStyle name="Normál 3" xfId="6" xr:uid="{12553EAD-32A4-4294-90D1-51796BAD319D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ALTEO eredmények -</a:t>
            </a:r>
            <a:r>
              <a:rPr lang="hu-HU" baseline="0"/>
              <a:t> M Ft-ban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Árbevétel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'éves P&amp;L_mérleg'!$D$96:$I$96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'éves P&amp;L_mérleg'!$D$98:$I$98</c:f>
              <c:numCache>
                <c:formatCode>#,##0_);\(#,##0\);\-\-_);@_)</c:formatCode>
                <c:ptCount val="6"/>
                <c:pt idx="0">
                  <c:v>6172.3940000000002</c:v>
                </c:pt>
                <c:pt idx="1">
                  <c:v>5860.0439999999999</c:v>
                </c:pt>
                <c:pt idx="2">
                  <c:v>10699.412</c:v>
                </c:pt>
                <c:pt idx="3">
                  <c:v>13948.218999999999</c:v>
                </c:pt>
                <c:pt idx="4" formatCode="#,##0_);\(#,##0\);&quot;-  &quot;;&quot; &quot;@">
                  <c:v>18389.28427</c:v>
                </c:pt>
                <c:pt idx="5" formatCode="#,##0_);\(#,##0\);&quot;-  &quot;;&quot; &quot;@">
                  <c:v>18685.767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E20-A41C-AD6D0B1E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83232"/>
        <c:axId val="446986512"/>
      </c:barChart>
      <c:lineChart>
        <c:grouping val="standard"/>
        <c:varyColors val="0"/>
        <c:ser>
          <c:idx val="1"/>
          <c:order val="1"/>
          <c:tx>
            <c:v>EBITDA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'éves P&amp;L_mérleg'!$D$96:$I$96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'éves P&amp;L_mérleg'!$D$123:$I$123</c:f>
              <c:numCache>
                <c:formatCode>#,##0_);\(#,##0\);\-\-_);@_)</c:formatCode>
                <c:ptCount val="6"/>
                <c:pt idx="0">
                  <c:v>815.60400000000004</c:v>
                </c:pt>
                <c:pt idx="1">
                  <c:v>749.34699999999998</c:v>
                </c:pt>
                <c:pt idx="2">
                  <c:v>1428.8420000000001</c:v>
                </c:pt>
                <c:pt idx="3">
                  <c:v>2313.67</c:v>
                </c:pt>
                <c:pt idx="4" formatCode="#,##0_);\(#,##0\);&quot;-  &quot;;&quot; &quot;@">
                  <c:v>1934.9535209999999</c:v>
                </c:pt>
                <c:pt idx="5" formatCode="#,##0_);\(#,##0\);&quot;-  &quot;;&quot; &quot;@">
                  <c:v>1800.567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7-4E20-A41C-AD6D0B1E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53056"/>
        <c:axId val="446958960"/>
      </c:lineChart>
      <c:catAx>
        <c:axId val="4469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986512"/>
        <c:crosses val="autoZero"/>
        <c:auto val="1"/>
        <c:lblAlgn val="ctr"/>
        <c:lblOffset val="100"/>
        <c:noMultiLvlLbl val="0"/>
      </c:catAx>
      <c:valAx>
        <c:axId val="44698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;\-\-_);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983232"/>
        <c:crosses val="autoZero"/>
        <c:crossBetween val="between"/>
      </c:valAx>
      <c:valAx>
        <c:axId val="446958960"/>
        <c:scaling>
          <c:orientation val="minMax"/>
        </c:scaling>
        <c:delete val="0"/>
        <c:axPos val="r"/>
        <c:numFmt formatCode="#,##0_);\(#,##0\);\-\-_);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953056"/>
        <c:crosses val="max"/>
        <c:crossBetween val="between"/>
      </c:valAx>
      <c:catAx>
        <c:axId val="44695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95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341947</xdr:colOff>
      <xdr:row>127</xdr:row>
      <xdr:rowOff>145732</xdr:rowOff>
    </xdr:from>
    <xdr:to>
      <xdr:col>26</xdr:col>
      <xdr:colOff>37147</xdr:colOff>
      <xdr:row>142</xdr:row>
      <xdr:rowOff>29527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AD6B4A-4DB9-4341-94C1-BBBD990BC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P176"/>
  <sheetViews>
    <sheetView showGridLines="0" tabSelected="1" workbookViewId="0">
      <selection activeCell="B2" sqref="B2"/>
    </sheetView>
  </sheetViews>
  <sheetFormatPr defaultRowHeight="15" outlineLevelRow="1" outlineLevelCol="1" x14ac:dyDescent="0.25"/>
  <cols>
    <col min="1" max="1" width="13.85546875" customWidth="1"/>
    <col min="2" max="2" width="46.28515625" bestFit="1" customWidth="1"/>
    <col min="3" max="3" width="33.5703125" customWidth="1"/>
    <col min="4" max="5" width="9.140625" customWidth="1" outlineLevel="1"/>
    <col min="6" max="6" width="9.7109375" customWidth="1" outlineLevel="1"/>
    <col min="7" max="7" width="9.85546875" bestFit="1" customWidth="1"/>
    <col min="8" max="8" width="9.28515625" bestFit="1" customWidth="1"/>
    <col min="9" max="9" width="9.42578125" bestFit="1" customWidth="1"/>
  </cols>
  <sheetData>
    <row r="2" spans="1:16" x14ac:dyDescent="0.25">
      <c r="D2" s="217" t="s">
        <v>95</v>
      </c>
      <c r="E2" s="217"/>
      <c r="F2" s="217"/>
      <c r="G2" s="217"/>
      <c r="H2" s="217"/>
      <c r="K2" s="217" t="s">
        <v>96</v>
      </c>
      <c r="L2" s="217"/>
      <c r="M2" s="217"/>
      <c r="N2" s="217"/>
      <c r="O2" s="217"/>
    </row>
    <row r="3" spans="1:16" x14ac:dyDescent="0.25">
      <c r="J3" t="s">
        <v>94</v>
      </c>
      <c r="K3">
        <v>296.91000000000003</v>
      </c>
      <c r="L3">
        <v>314.89</v>
      </c>
      <c r="M3">
        <v>313.12</v>
      </c>
      <c r="N3">
        <v>311.02</v>
      </c>
      <c r="O3">
        <v>310.14</v>
      </c>
      <c r="P3">
        <v>321.51</v>
      </c>
    </row>
    <row r="4" spans="1:16" x14ac:dyDescent="0.25">
      <c r="A4" s="1" t="s">
        <v>0</v>
      </c>
      <c r="B4" s="163"/>
      <c r="C4" s="16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</row>
    <row r="5" spans="1:16" x14ac:dyDescent="0.25">
      <c r="B5" s="163" t="s">
        <v>93</v>
      </c>
      <c r="C5" s="16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</row>
    <row r="6" spans="1:16" x14ac:dyDescent="0.25">
      <c r="B6" s="165" t="s">
        <v>4</v>
      </c>
      <c r="C6" s="16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K6" s="7">
        <f t="shared" ref="K6" si="1">SUM(K7:K17)</f>
        <v>21753.669462126567</v>
      </c>
      <c r="L6" s="7">
        <f t="shared" ref="L6" si="2">SUM(L7:L17)</f>
        <v>19656.908761789829</v>
      </c>
      <c r="M6" s="7">
        <f t="shared" ref="M6" si="3">SUM(M7:M17)</f>
        <v>25260.737097598369</v>
      </c>
      <c r="N6" s="7">
        <f t="shared" ref="N6" si="4">SUM(N7:N17)</f>
        <v>21434.126422738089</v>
      </c>
      <c r="O6" s="7">
        <f>SUM(O7:O17)</f>
        <v>24331.31811439995</v>
      </c>
      <c r="P6" s="7">
        <f t="shared" ref="L6:P17" si="5">IFERROR(I6/P$3*1000,0)</f>
        <v>42659.973251220807</v>
      </c>
    </row>
    <row r="7" spans="1:16" outlineLevel="1" x14ac:dyDescent="0.25">
      <c r="B7" s="167" t="s">
        <v>6</v>
      </c>
      <c r="C7" s="16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K7" s="9">
        <f>IFERROR(D7/K$3*1000,0)</f>
        <v>19733.164932134314</v>
      </c>
      <c r="L7" s="9">
        <f t="shared" si="5"/>
        <v>18005.903648893265</v>
      </c>
      <c r="M7" s="9">
        <f t="shared" si="5"/>
        <v>17508.846448645887</v>
      </c>
      <c r="N7" s="9">
        <f t="shared" si="5"/>
        <v>16117.580862967014</v>
      </c>
      <c r="O7" s="9">
        <f t="shared" si="5"/>
        <v>18864.100083833109</v>
      </c>
      <c r="P7" s="9">
        <f t="shared" si="5"/>
        <v>33330.048832073648</v>
      </c>
    </row>
    <row r="8" spans="1:16" outlineLevel="1" x14ac:dyDescent="0.25">
      <c r="B8" s="167" t="s">
        <v>8</v>
      </c>
      <c r="C8" s="16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K8" s="9">
        <f t="shared" ref="K8:K17" si="6">IFERROR(D8/K$3*1000,0)</f>
        <v>37.502947020982788</v>
      </c>
      <c r="L8" s="9">
        <f t="shared" si="5"/>
        <v>19.698942487852904</v>
      </c>
      <c r="M8" s="9">
        <f t="shared" si="5"/>
        <v>71.167603474706169</v>
      </c>
      <c r="N8" s="9">
        <f t="shared" si="5"/>
        <v>102.27959616744904</v>
      </c>
      <c r="O8" s="9">
        <f t="shared" si="5"/>
        <v>108.68639969046237</v>
      </c>
      <c r="P8" s="9">
        <f t="shared" si="5"/>
        <v>118.52819507946876</v>
      </c>
    </row>
    <row r="9" spans="1:16" outlineLevel="1" x14ac:dyDescent="0.25">
      <c r="B9" s="167" t="s">
        <v>10</v>
      </c>
      <c r="C9" s="16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K9" s="9">
        <f t="shared" si="6"/>
        <v>0</v>
      </c>
      <c r="L9" s="9">
        <f t="shared" si="5"/>
        <v>0</v>
      </c>
      <c r="M9" s="9">
        <f t="shared" si="5"/>
        <v>4147.9305058763412</v>
      </c>
      <c r="N9" s="9">
        <f t="shared" si="5"/>
        <v>2346.2188926757126</v>
      </c>
      <c r="O9" s="9">
        <f t="shared" si="5"/>
        <v>1554.433481653447</v>
      </c>
      <c r="P9" s="9">
        <f t="shared" si="5"/>
        <v>789.31292961338681</v>
      </c>
    </row>
    <row r="10" spans="1:16" outlineLevel="1" x14ac:dyDescent="0.25">
      <c r="B10" s="167" t="s">
        <v>13</v>
      </c>
      <c r="C10" s="16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K10" s="9">
        <f t="shared" si="6"/>
        <v>122.00330066350071</v>
      </c>
      <c r="L10" s="9">
        <f t="shared" si="5"/>
        <v>223.67175839181937</v>
      </c>
      <c r="M10" s="9">
        <f t="shared" si="5"/>
        <v>582.6200817577926</v>
      </c>
      <c r="N10" s="9">
        <f t="shared" si="5"/>
        <v>150.22828113947656</v>
      </c>
      <c r="O10" s="9">
        <f t="shared" si="5"/>
        <v>177.27800348229832</v>
      </c>
      <c r="P10" s="9">
        <f t="shared" si="5"/>
        <v>12.500388790395323</v>
      </c>
    </row>
    <row r="11" spans="1:16" outlineLevel="1" x14ac:dyDescent="0.25">
      <c r="B11" s="167" t="s">
        <v>15</v>
      </c>
      <c r="C11" s="16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K11" s="9">
        <f t="shared" si="6"/>
        <v>1220.1677275942202</v>
      </c>
      <c r="L11" s="9">
        <f t="shared" si="5"/>
        <v>904.90965098923436</v>
      </c>
      <c r="M11" s="9">
        <f t="shared" si="5"/>
        <v>790.23058252427188</v>
      </c>
      <c r="N11" s="9">
        <f t="shared" si="5"/>
        <v>702.26352003086618</v>
      </c>
      <c r="O11" s="9">
        <f t="shared" si="5"/>
        <v>1356.2294447668794</v>
      </c>
      <c r="P11" s="9">
        <f t="shared" si="5"/>
        <v>2701.3965350999965</v>
      </c>
    </row>
    <row r="12" spans="1:16" outlineLevel="1" x14ac:dyDescent="0.25">
      <c r="B12" s="167" t="s">
        <v>17</v>
      </c>
      <c r="C12" s="16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K12" s="9">
        <f t="shared" si="6"/>
        <v>0</v>
      </c>
      <c r="L12" s="9">
        <f t="shared" si="5"/>
        <v>0</v>
      </c>
      <c r="M12" s="9">
        <f t="shared" si="5"/>
        <v>1582.559402146142</v>
      </c>
      <c r="N12" s="9">
        <f t="shared" si="5"/>
        <v>1182.7342293100123</v>
      </c>
      <c r="O12" s="9">
        <f t="shared" si="5"/>
        <v>914.55471722447919</v>
      </c>
      <c r="P12" s="9">
        <f t="shared" si="5"/>
        <v>4593.1137445180557</v>
      </c>
    </row>
    <row r="13" spans="1:16" outlineLevel="1" x14ac:dyDescent="0.25">
      <c r="B13" s="99" t="s">
        <v>287</v>
      </c>
      <c r="C13" s="99" t="s">
        <v>311</v>
      </c>
      <c r="D13" s="9"/>
      <c r="E13" s="9"/>
      <c r="F13" s="9"/>
      <c r="G13" s="9"/>
      <c r="H13" s="9"/>
      <c r="I13" s="9"/>
      <c r="K13" s="9"/>
      <c r="L13" s="9"/>
      <c r="M13" s="9"/>
      <c r="N13" s="9"/>
      <c r="O13" s="9"/>
      <c r="P13" s="9"/>
    </row>
    <row r="14" spans="1:16" outlineLevel="1" x14ac:dyDescent="0.25">
      <c r="B14" s="167" t="s">
        <v>19</v>
      </c>
      <c r="C14" s="16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K14" s="9">
        <f t="shared" si="6"/>
        <v>255.42757064430293</v>
      </c>
      <c r="L14" s="9">
        <f t="shared" si="5"/>
        <v>240.84283400552576</v>
      </c>
      <c r="M14" s="9">
        <f t="shared" si="5"/>
        <v>242.20426673479815</v>
      </c>
      <c r="N14" s="9">
        <f t="shared" si="5"/>
        <v>0</v>
      </c>
      <c r="O14" s="9">
        <f t="shared" si="5"/>
        <v>0</v>
      </c>
      <c r="P14" s="9">
        <f t="shared" si="5"/>
        <v>0</v>
      </c>
    </row>
    <row r="15" spans="1:16" outlineLevel="1" x14ac:dyDescent="0.25">
      <c r="B15" s="167" t="s">
        <v>21</v>
      </c>
      <c r="C15" s="16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K15" s="9">
        <f t="shared" si="6"/>
        <v>385.40298406924654</v>
      </c>
      <c r="L15" s="9">
        <f t="shared" si="5"/>
        <v>261.88192702213468</v>
      </c>
      <c r="M15" s="9">
        <f t="shared" si="5"/>
        <v>318.89052120592743</v>
      </c>
      <c r="N15" s="9">
        <f t="shared" si="5"/>
        <v>234.35791910488075</v>
      </c>
      <c r="O15" s="9">
        <f t="shared" si="5"/>
        <v>757.31927516605413</v>
      </c>
      <c r="P15" s="9">
        <f t="shared" si="5"/>
        <v>434.68632390905412</v>
      </c>
    </row>
    <row r="16" spans="1:16" outlineLevel="1" x14ac:dyDescent="0.25">
      <c r="B16" s="167" t="s">
        <v>23</v>
      </c>
      <c r="C16" s="16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K16" s="9">
        <f t="shared" si="6"/>
        <v>0</v>
      </c>
      <c r="L16" s="9">
        <f t="shared" si="5"/>
        <v>0</v>
      </c>
      <c r="M16" s="9">
        <f t="shared" si="5"/>
        <v>16.28768523249872</v>
      </c>
      <c r="N16" s="9">
        <f t="shared" si="5"/>
        <v>598.14159861102178</v>
      </c>
      <c r="O16" s="9">
        <f t="shared" si="5"/>
        <v>598.39427355387897</v>
      </c>
      <c r="P16" s="9">
        <f t="shared" si="5"/>
        <v>680.07526982053446</v>
      </c>
    </row>
    <row r="17" spans="2:16" outlineLevel="1" x14ac:dyDescent="0.25">
      <c r="B17" s="167" t="s">
        <v>25</v>
      </c>
      <c r="C17" s="167" t="s">
        <v>307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K17" s="9">
        <f t="shared" si="6"/>
        <v>0</v>
      </c>
      <c r="L17" s="9">
        <f t="shared" si="5"/>
        <v>0</v>
      </c>
      <c r="M17" s="9">
        <f t="shared" si="5"/>
        <v>0</v>
      </c>
      <c r="N17" s="9">
        <f t="shared" si="5"/>
        <v>0.32152273165712819</v>
      </c>
      <c r="O17" s="9">
        <f t="shared" si="5"/>
        <v>0.32243502934158769</v>
      </c>
      <c r="P17" s="9">
        <f t="shared" si="5"/>
        <v>0.3110323162576592</v>
      </c>
    </row>
    <row r="18" spans="2:16" outlineLevel="1" collapsed="1" x14ac:dyDescent="0.25">
      <c r="B18" s="167"/>
      <c r="C18" s="167"/>
      <c r="D18" s="12"/>
      <c r="E18" s="12"/>
      <c r="F18" s="12"/>
      <c r="G18" s="12"/>
      <c r="H18" s="12"/>
      <c r="I18" s="12"/>
      <c r="K18" s="12"/>
      <c r="L18" s="12"/>
      <c r="M18" s="12"/>
      <c r="N18" s="12"/>
      <c r="O18" s="12"/>
      <c r="P18" s="12"/>
    </row>
    <row r="19" spans="2:16" x14ac:dyDescent="0.25">
      <c r="B19" s="166" t="s">
        <v>26</v>
      </c>
      <c r="C19" s="166" t="s">
        <v>27</v>
      </c>
      <c r="D19" s="13">
        <f t="shared" ref="D19:I19" si="7">SUM(D20:D28)</f>
        <v>2077.7199999999998</v>
      </c>
      <c r="E19" s="13">
        <f t="shared" si="7"/>
        <v>3598.5430000000001</v>
      </c>
      <c r="F19" s="13">
        <f t="shared" si="7"/>
        <v>6029.5740000000005</v>
      </c>
      <c r="G19" s="13">
        <f t="shared" si="7"/>
        <v>9481.3909999999996</v>
      </c>
      <c r="H19" s="13">
        <f t="shared" si="7"/>
        <v>9106.0049999999992</v>
      </c>
      <c r="I19" s="13">
        <f t="shared" si="7"/>
        <v>9143.49</v>
      </c>
      <c r="K19" s="13">
        <f>SUM(K20:K28)</f>
        <v>6997.8107844127844</v>
      </c>
      <c r="L19" s="13">
        <f>SUM(L20:L28)</f>
        <v>11427.936739813904</v>
      </c>
      <c r="M19" s="13">
        <f>SUM(M20:M28)</f>
        <v>19256.432038834948</v>
      </c>
      <c r="N19" s="13">
        <f>SUM(N20:N28)</f>
        <v>30484.827342293102</v>
      </c>
      <c r="O19" s="13">
        <f>SUM(O20:O28)</f>
        <v>29360.949893596444</v>
      </c>
      <c r="P19" s="13">
        <f t="shared" ref="O19:P28" si="8">IFERROR(I19/P$3*1000,0)</f>
        <v>28439.208733787444</v>
      </c>
    </row>
    <row r="20" spans="2:16" outlineLevel="1" x14ac:dyDescent="0.25">
      <c r="B20" s="167" t="s">
        <v>28</v>
      </c>
      <c r="C20" s="16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K20" s="9">
        <f t="shared" ref="K20:K28" si="9">IFERROR(D20/K$3*1000,0)</f>
        <v>139.45976895355491</v>
      </c>
      <c r="L20" s="9">
        <f t="shared" ref="L20:L28" si="10">IFERROR(E20/L$3*1000,0)</f>
        <v>136.62548826574357</v>
      </c>
      <c r="M20" s="9">
        <f t="shared" ref="M20:M28" si="11">IFERROR(F20/M$3*1000,0)</f>
        <v>314.56310679611647</v>
      </c>
      <c r="N20" s="9">
        <f t="shared" ref="N20:N28" si="12">IFERROR(G20/N$3*1000,0)</f>
        <v>177.55128287569931</v>
      </c>
      <c r="O20" s="9">
        <f t="shared" si="8"/>
        <v>977.85193783452644</v>
      </c>
      <c r="P20" s="9">
        <f t="shared" si="8"/>
        <v>662.9467201642251</v>
      </c>
    </row>
    <row r="21" spans="2:16" outlineLevel="1" x14ac:dyDescent="0.25">
      <c r="B21" s="167" t="s">
        <v>30</v>
      </c>
      <c r="C21" s="16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K21" s="9">
        <f t="shared" si="9"/>
        <v>2652.335724630359</v>
      </c>
      <c r="L21" s="9">
        <f t="shared" si="10"/>
        <v>2223.8400711359523</v>
      </c>
      <c r="M21" s="9">
        <f t="shared" si="11"/>
        <v>8464.5311701584051</v>
      </c>
      <c r="N21" s="9">
        <f t="shared" si="12"/>
        <v>11361.809529933767</v>
      </c>
      <c r="O21" s="9">
        <f t="shared" si="8"/>
        <v>11930.050944734638</v>
      </c>
      <c r="P21" s="9">
        <f t="shared" si="8"/>
        <v>10324.979005318653</v>
      </c>
    </row>
    <row r="22" spans="2:16" outlineLevel="1" x14ac:dyDescent="0.25">
      <c r="B22" s="99" t="s">
        <v>314</v>
      </c>
      <c r="C22" s="167" t="s">
        <v>306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K22" s="9">
        <f t="shared" si="9"/>
        <v>0</v>
      </c>
      <c r="L22" s="9">
        <f t="shared" si="10"/>
        <v>0</v>
      </c>
      <c r="M22" s="9">
        <f t="shared" si="11"/>
        <v>0</v>
      </c>
      <c r="N22" s="9">
        <f t="shared" si="12"/>
        <v>879.04957880522147</v>
      </c>
      <c r="O22" s="9">
        <f t="shared" si="8"/>
        <v>2817.917714580512</v>
      </c>
      <c r="P22" s="9">
        <f t="shared" si="8"/>
        <v>892.66274765948185</v>
      </c>
    </row>
    <row r="23" spans="2:16" outlineLevel="1" x14ac:dyDescent="0.25">
      <c r="B23" s="167" t="s">
        <v>32</v>
      </c>
      <c r="C23" s="167" t="s">
        <v>33</v>
      </c>
      <c r="D23" s="9">
        <v>268.46699999999998</v>
      </c>
      <c r="E23" s="9">
        <v>391.399</v>
      </c>
      <c r="F23" s="9">
        <v>627.99</v>
      </c>
      <c r="G23" s="9">
        <v>1275.48</v>
      </c>
      <c r="H23" s="9">
        <v>265.75299999999999</v>
      </c>
      <c r="I23" s="9">
        <v>915.40099999999995</v>
      </c>
      <c r="K23" s="9">
        <f t="shared" si="9"/>
        <v>904.20329392745271</v>
      </c>
      <c r="L23" s="9">
        <f t="shared" si="10"/>
        <v>1242.9705611483375</v>
      </c>
      <c r="M23" s="9">
        <f t="shared" si="11"/>
        <v>2005.5889115993871</v>
      </c>
      <c r="N23" s="9">
        <f t="shared" si="12"/>
        <v>4100.9581377403383</v>
      </c>
      <c r="O23" s="9">
        <f t="shared" si="8"/>
        <v>856.88076352614951</v>
      </c>
      <c r="P23" s="9">
        <f t="shared" si="8"/>
        <v>2847.1929333457747</v>
      </c>
    </row>
    <row r="24" spans="2:16" outlineLevel="1" x14ac:dyDescent="0.25">
      <c r="B24" s="167" t="s">
        <v>34</v>
      </c>
      <c r="C24" s="168" t="s">
        <v>35</v>
      </c>
      <c r="D24" s="9">
        <v>102.241</v>
      </c>
      <c r="E24" s="9">
        <v>207.75700000000001</v>
      </c>
      <c r="F24" s="9">
        <v>693.71400000000006</v>
      </c>
      <c r="G24" s="9">
        <v>359.46899999999999</v>
      </c>
      <c r="H24" s="9">
        <v>1009.65</v>
      </c>
      <c r="I24" s="9">
        <v>1654.961</v>
      </c>
      <c r="K24" s="9">
        <f t="shared" si="9"/>
        <v>344.35013977299519</v>
      </c>
      <c r="L24" s="9">
        <f t="shared" si="10"/>
        <v>659.77642986439707</v>
      </c>
      <c r="M24" s="9">
        <f t="shared" si="11"/>
        <v>2215.4892692897292</v>
      </c>
      <c r="N24" s="9">
        <f t="shared" si="12"/>
        <v>1155.7745482605621</v>
      </c>
      <c r="O24" s="9">
        <f t="shared" si="8"/>
        <v>3255.4652737473398</v>
      </c>
      <c r="P24" s="9">
        <f t="shared" si="8"/>
        <v>5147.4635314609186</v>
      </c>
    </row>
    <row r="25" spans="2:16" outlineLevel="1" x14ac:dyDescent="0.25">
      <c r="B25" s="167" t="s">
        <v>36</v>
      </c>
      <c r="C25" s="167" t="s">
        <v>37</v>
      </c>
      <c r="D25" s="9">
        <v>0</v>
      </c>
      <c r="E25" s="9">
        <v>3.9369999999999998</v>
      </c>
      <c r="F25" s="9">
        <v>25.599</v>
      </c>
      <c r="G25" s="9">
        <v>68.977000000000004</v>
      </c>
      <c r="H25" s="9">
        <v>127.69799999999999</v>
      </c>
      <c r="I25" s="9">
        <v>192.18199999999999</v>
      </c>
      <c r="K25" s="9">
        <f t="shared" si="9"/>
        <v>0</v>
      </c>
      <c r="L25" s="9">
        <f t="shared" si="10"/>
        <v>12.502778748134268</v>
      </c>
      <c r="M25" s="9">
        <f t="shared" si="11"/>
        <v>81.754598875830354</v>
      </c>
      <c r="N25" s="9">
        <f t="shared" si="12"/>
        <v>221.77673461513731</v>
      </c>
      <c r="O25" s="9">
        <f t="shared" si="8"/>
        <v>411.74308376862064</v>
      </c>
      <c r="P25" s="9">
        <f t="shared" si="8"/>
        <v>597.74812603029443</v>
      </c>
    </row>
    <row r="26" spans="2:16" x14ac:dyDescent="0.25">
      <c r="B26" s="167" t="s">
        <v>38</v>
      </c>
      <c r="C26" s="167" t="s">
        <v>39</v>
      </c>
      <c r="D26" s="9">
        <v>878.1</v>
      </c>
      <c r="E26" s="9">
        <v>2252.163</v>
      </c>
      <c r="F26" s="9">
        <v>1924.559</v>
      </c>
      <c r="G26" s="9">
        <v>3915.0909999999999</v>
      </c>
      <c r="H26" s="9">
        <v>2825.6979999999999</v>
      </c>
      <c r="I26" s="9">
        <v>2561.2179999999998</v>
      </c>
      <c r="K26" s="9">
        <f t="shared" si="9"/>
        <v>2957.4618571284227</v>
      </c>
      <c r="L26" s="9">
        <f t="shared" si="10"/>
        <v>7152.2214106513384</v>
      </c>
      <c r="M26" s="9">
        <f t="shared" si="11"/>
        <v>6146.3943536024517</v>
      </c>
      <c r="N26" s="9">
        <f t="shared" si="12"/>
        <v>12587.907530062375</v>
      </c>
      <c r="O26" s="9">
        <f t="shared" si="8"/>
        <v>9111.0401754046561</v>
      </c>
      <c r="P26" s="9">
        <f t="shared" si="8"/>
        <v>7966.2156698080926</v>
      </c>
    </row>
    <row r="27" spans="2:16" x14ac:dyDescent="0.25">
      <c r="B27" s="99" t="s">
        <v>286</v>
      </c>
      <c r="C27" s="167" t="s">
        <v>310</v>
      </c>
      <c r="D27" s="9"/>
      <c r="E27" s="9"/>
      <c r="F27" s="9"/>
      <c r="G27" s="9"/>
      <c r="H27" s="9"/>
      <c r="I27" s="9"/>
      <c r="K27" s="9"/>
      <c r="L27" s="9"/>
      <c r="M27" s="9"/>
      <c r="N27" s="9"/>
      <c r="O27" s="9"/>
      <c r="P27" s="9"/>
    </row>
    <row r="28" spans="2:16" outlineLevel="1" x14ac:dyDescent="0.25">
      <c r="B28" s="167" t="s">
        <v>40</v>
      </c>
      <c r="C28" s="167" t="s">
        <v>41</v>
      </c>
      <c r="D28" s="9">
        <v>0</v>
      </c>
      <c r="E28" s="9">
        <v>0</v>
      </c>
      <c r="F28" s="9">
        <v>8.8019999999999996</v>
      </c>
      <c r="G28" s="9">
        <v>0</v>
      </c>
      <c r="H28" s="11" t="s">
        <v>20</v>
      </c>
      <c r="I28" s="11">
        <v>0</v>
      </c>
      <c r="K28" s="9">
        <f t="shared" si="9"/>
        <v>0</v>
      </c>
      <c r="L28" s="9">
        <f t="shared" si="10"/>
        <v>0</v>
      </c>
      <c r="M28" s="9">
        <f t="shared" si="11"/>
        <v>28.110628513030147</v>
      </c>
      <c r="N28" s="9">
        <f t="shared" si="12"/>
        <v>0</v>
      </c>
      <c r="O28" s="9">
        <f t="shared" si="8"/>
        <v>0</v>
      </c>
      <c r="P28" s="9">
        <f t="shared" si="8"/>
        <v>0</v>
      </c>
    </row>
    <row r="29" spans="2:16" ht="15.75" thickBot="1" x14ac:dyDescent="0.3">
      <c r="B29" s="167"/>
      <c r="C29" s="167"/>
      <c r="D29" s="12"/>
      <c r="E29" s="12"/>
      <c r="F29" s="12"/>
      <c r="G29" s="12"/>
      <c r="H29" s="12"/>
      <c r="I29" s="12"/>
      <c r="K29" s="12"/>
      <c r="L29" s="12"/>
      <c r="M29" s="12"/>
      <c r="N29" s="12"/>
      <c r="O29" s="12"/>
      <c r="P29" s="12"/>
    </row>
    <row r="30" spans="2:16" ht="15.75" thickBot="1" x14ac:dyDescent="0.3">
      <c r="B30" s="169" t="s">
        <v>42</v>
      </c>
      <c r="C30" s="169" t="s">
        <v>43</v>
      </c>
      <c r="D30" s="14">
        <f t="shared" ref="D30:I30" si="13">+D19+D6</f>
        <v>8536.6020000000008</v>
      </c>
      <c r="E30" s="14">
        <f t="shared" si="13"/>
        <v>9788.3070000000007</v>
      </c>
      <c r="F30" s="14">
        <f t="shared" si="13"/>
        <v>13939.216</v>
      </c>
      <c r="G30" s="14">
        <f t="shared" si="13"/>
        <v>16147.833000000001</v>
      </c>
      <c r="H30" s="14">
        <f t="shared" si="13"/>
        <v>16652.12</v>
      </c>
      <c r="I30" s="14">
        <f t="shared" si="13"/>
        <v>22859.097999999998</v>
      </c>
      <c r="K30" s="14">
        <f t="shared" ref="K30:P30" si="14">+K19+K6</f>
        <v>28751.480246539351</v>
      </c>
      <c r="L30" s="14">
        <f t="shared" si="14"/>
        <v>31084.845501603733</v>
      </c>
      <c r="M30" s="14">
        <f t="shared" si="14"/>
        <v>44517.169136433316</v>
      </c>
      <c r="N30" s="14">
        <f t="shared" si="14"/>
        <v>51918.95376503119</v>
      </c>
      <c r="O30" s="14">
        <f t="shared" si="14"/>
        <v>53692.26800799639</v>
      </c>
      <c r="P30" s="14">
        <f t="shared" si="14"/>
        <v>71099.181985008254</v>
      </c>
    </row>
    <row r="31" spans="2:16" x14ac:dyDescent="0.25">
      <c r="B31" s="167"/>
      <c r="C31" s="167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</row>
    <row r="32" spans="2:16" x14ac:dyDescent="0.25">
      <c r="B32" s="166" t="s">
        <v>44</v>
      </c>
      <c r="C32" s="166" t="s">
        <v>45</v>
      </c>
      <c r="D32" s="13">
        <f t="shared" ref="D32:F32" si="15">+D33+D41</f>
        <v>1873.3670000000002</v>
      </c>
      <c r="E32" s="13">
        <f t="shared" si="15"/>
        <v>1527.4540000000002</v>
      </c>
      <c r="F32" s="13">
        <f t="shared" si="15"/>
        <v>2543.5970000000007</v>
      </c>
      <c r="G32" s="13">
        <f>+G33+G41</f>
        <v>4896.6480000000001</v>
      </c>
      <c r="H32" s="13">
        <f>+H33+H41</f>
        <v>5119.4949999999999</v>
      </c>
      <c r="I32" s="13">
        <f>+I33+I41</f>
        <v>5144.7329999999993</v>
      </c>
      <c r="K32" s="13">
        <f t="shared" ref="K32" si="16">+K33+K41</f>
        <v>6309.5449799602557</v>
      </c>
      <c r="L32" s="13">
        <f t="shared" ref="L32" si="17">+L33+L41</f>
        <v>4850.7542316364452</v>
      </c>
      <c r="M32" s="13">
        <f t="shared" ref="M32" si="18">+M33+M41</f>
        <v>8123.393587123147</v>
      </c>
      <c r="N32" s="13">
        <f>+N33+N41</f>
        <v>15743.836409234133</v>
      </c>
      <c r="O32" s="13">
        <f>+O33+O41</f>
        <v>16507.045205391114</v>
      </c>
      <c r="P32" s="13">
        <f t="shared" ref="O32:P41" si="19">IFERROR(I32/P$3*1000,0)</f>
        <v>16001.782215172156</v>
      </c>
    </row>
    <row r="33" spans="2:16" outlineLevel="1" x14ac:dyDescent="0.25">
      <c r="B33" s="82" t="s">
        <v>46</v>
      </c>
      <c r="C33" s="82" t="s">
        <v>47</v>
      </c>
      <c r="D33" s="9">
        <f t="shared" ref="D33:G33" si="20">SUM(D34:D39)</f>
        <v>1873.3670000000002</v>
      </c>
      <c r="E33" s="9">
        <f t="shared" si="20"/>
        <v>1527.4540000000002</v>
      </c>
      <c r="F33" s="9">
        <f t="shared" si="20"/>
        <v>2158.5020000000004</v>
      </c>
      <c r="G33" s="9">
        <f t="shared" si="20"/>
        <v>4924.7780000000002</v>
      </c>
      <c r="H33" s="9">
        <f>SUM(H34:H39)</f>
        <v>5145.1959999999999</v>
      </c>
      <c r="I33" s="9">
        <f>SUM(I34:I40)</f>
        <v>5151.5729999999994</v>
      </c>
      <c r="K33" s="9">
        <f t="shared" ref="K33" si="21">SUM(K34:K39)</f>
        <v>6309.5449799602557</v>
      </c>
      <c r="L33" s="9">
        <f t="shared" ref="L33" si="22">SUM(L34:L39)</f>
        <v>4850.7542316364452</v>
      </c>
      <c r="M33" s="9">
        <f t="shared" ref="M33" si="23">SUM(M34:M39)</f>
        <v>6893.5296371997947</v>
      </c>
      <c r="N33" s="9">
        <f t="shared" ref="N33" si="24">SUM(N34:N39)</f>
        <v>15834.280753649282</v>
      </c>
      <c r="O33" s="9">
        <f>SUM(O34:O39)</f>
        <v>16589.914232282197</v>
      </c>
      <c r="P33" s="9">
        <f>SUM(P34:P39)</f>
        <v>16022.241920935587</v>
      </c>
    </row>
    <row r="34" spans="2:16" outlineLevel="1" x14ac:dyDescent="0.25">
      <c r="B34" s="167" t="s">
        <v>48</v>
      </c>
      <c r="C34" s="167" t="s">
        <v>49</v>
      </c>
      <c r="D34" s="9">
        <v>167.7</v>
      </c>
      <c r="E34" s="9">
        <v>167.7</v>
      </c>
      <c r="F34" s="9">
        <v>158.07499999999999</v>
      </c>
      <c r="G34" s="9">
        <v>195.39</v>
      </c>
      <c r="H34" s="9">
        <v>195.39</v>
      </c>
      <c r="I34" s="9">
        <v>195.31399999999999</v>
      </c>
      <c r="K34" s="9">
        <f t="shared" ref="K34:K41" si="25">IFERROR(D34/K$3*1000,0)</f>
        <v>564.81762150146494</v>
      </c>
      <c r="L34" s="9">
        <f t="shared" ref="L34:L41" si="26">IFERROR(E34/L$3*1000,0)</f>
        <v>532.56692813363395</v>
      </c>
      <c r="M34" s="9">
        <f t="shared" ref="M34:M41" si="27">IFERROR(F34/M$3*1000,0)</f>
        <v>504.83840061318341</v>
      </c>
      <c r="N34" s="9">
        <f t="shared" ref="N34:N41" si="28">IFERROR(G34/N$3*1000,0)</f>
        <v>628.22326538486277</v>
      </c>
      <c r="O34" s="9">
        <f t="shared" si="19"/>
        <v>630.00580383052818</v>
      </c>
      <c r="P34" s="9">
        <f t="shared" si="19"/>
        <v>607.48965817548435</v>
      </c>
    </row>
    <row r="35" spans="2:16" outlineLevel="1" x14ac:dyDescent="0.25">
      <c r="B35" s="167" t="s">
        <v>305</v>
      </c>
      <c r="C35" s="167" t="s">
        <v>50</v>
      </c>
      <c r="D35" s="9">
        <v>1628.451</v>
      </c>
      <c r="E35" s="9">
        <v>1628.451</v>
      </c>
      <c r="F35" s="9">
        <v>1628.451</v>
      </c>
      <c r="G35" s="9">
        <v>3080.8380000000002</v>
      </c>
      <c r="H35" s="9">
        <v>3080.8380000000002</v>
      </c>
      <c r="I35" s="9">
        <v>3080.8380000000002</v>
      </c>
      <c r="K35" s="9">
        <f t="shared" si="25"/>
        <v>5484.6620187935732</v>
      </c>
      <c r="L35" s="9">
        <f t="shared" si="26"/>
        <v>5171.4916319984759</v>
      </c>
      <c r="M35" s="9">
        <f t="shared" si="27"/>
        <v>5200.7249616760346</v>
      </c>
      <c r="N35" s="9">
        <f t="shared" si="28"/>
        <v>9905.594495530835</v>
      </c>
      <c r="O35" s="9">
        <f t="shared" si="19"/>
        <v>9933.7009092667849</v>
      </c>
      <c r="P35" s="9">
        <f t="shared" si="19"/>
        <v>9582.4017915461427</v>
      </c>
    </row>
    <row r="36" spans="2:16" outlineLevel="1" x14ac:dyDescent="0.25">
      <c r="B36" s="167" t="s">
        <v>51</v>
      </c>
      <c r="C36" s="167" t="s">
        <v>52</v>
      </c>
      <c r="D36" s="9">
        <v>33.149000000000001</v>
      </c>
      <c r="E36" s="9">
        <v>8.8800000000000008</v>
      </c>
      <c r="F36" s="9">
        <v>0</v>
      </c>
      <c r="G36" s="9">
        <v>42.295999999999999</v>
      </c>
      <c r="H36" s="9">
        <v>83.74</v>
      </c>
      <c r="I36" s="9">
        <v>92.69</v>
      </c>
      <c r="K36" s="9">
        <f t="shared" si="25"/>
        <v>111.64662692398369</v>
      </c>
      <c r="L36" s="9">
        <f t="shared" si="26"/>
        <v>28.200323922639654</v>
      </c>
      <c r="M36" s="9">
        <f t="shared" si="27"/>
        <v>0</v>
      </c>
      <c r="N36" s="9">
        <f t="shared" si="28"/>
        <v>135.99125458169894</v>
      </c>
      <c r="O36" s="9">
        <f t="shared" si="19"/>
        <v>270.00709357064551</v>
      </c>
      <c r="P36" s="9">
        <f t="shared" si="19"/>
        <v>288.29585393922429</v>
      </c>
    </row>
    <row r="37" spans="2:16" outlineLevel="1" x14ac:dyDescent="0.25">
      <c r="B37" s="167" t="s">
        <v>53</v>
      </c>
      <c r="C37" s="167" t="s">
        <v>54</v>
      </c>
      <c r="D37" s="9">
        <v>44.067</v>
      </c>
      <c r="E37" s="9">
        <v>-277.577</v>
      </c>
      <c r="F37" s="9">
        <v>818.70699999999999</v>
      </c>
      <c r="G37" s="9">
        <v>1348.3430000000001</v>
      </c>
      <c r="H37" s="9">
        <v>2006.8610000000001</v>
      </c>
      <c r="I37" s="9">
        <v>2267.98</v>
      </c>
      <c r="K37" s="9">
        <f t="shared" si="25"/>
        <v>148.41871274123469</v>
      </c>
      <c r="L37" s="9">
        <f t="shared" si="26"/>
        <v>-881.50465241830489</v>
      </c>
      <c r="M37" s="9">
        <f t="shared" si="27"/>
        <v>2614.6748850281042</v>
      </c>
      <c r="N37" s="9">
        <f t="shared" si="28"/>
        <v>4335.2292457076719</v>
      </c>
      <c r="O37" s="9">
        <f t="shared" si="19"/>
        <v>6470.8228541948802</v>
      </c>
      <c r="P37" s="9">
        <f t="shared" si="19"/>
        <v>7054.1507262604591</v>
      </c>
    </row>
    <row r="38" spans="2:16" outlineLevel="1" x14ac:dyDescent="0.25">
      <c r="B38" s="167" t="s">
        <v>55</v>
      </c>
      <c r="C38" s="167" t="s">
        <v>56</v>
      </c>
      <c r="D38" s="9">
        <v>0</v>
      </c>
      <c r="E38" s="9">
        <v>0</v>
      </c>
      <c r="F38" s="9">
        <v>-356.13600000000002</v>
      </c>
      <c r="G38" s="9">
        <v>-182.42400000000001</v>
      </c>
      <c r="H38" s="9">
        <v>-182.42400000000001</v>
      </c>
      <c r="I38" s="9">
        <v>-186.40799999999999</v>
      </c>
      <c r="K38" s="9">
        <f t="shared" si="25"/>
        <v>0</v>
      </c>
      <c r="L38" s="9">
        <f t="shared" si="26"/>
        <v>0</v>
      </c>
      <c r="M38" s="9">
        <f t="shared" si="27"/>
        <v>-1137.3786407766991</v>
      </c>
      <c r="N38" s="9">
        <f t="shared" si="28"/>
        <v>-586.53462799819954</v>
      </c>
      <c r="O38" s="9">
        <f t="shared" si="19"/>
        <v>-588.19887792609791</v>
      </c>
      <c r="P38" s="9">
        <f t="shared" si="19"/>
        <v>-579.7891200895773</v>
      </c>
    </row>
    <row r="39" spans="2:16" outlineLevel="1" x14ac:dyDescent="0.25">
      <c r="B39" s="167" t="s">
        <v>57</v>
      </c>
      <c r="C39" s="167" t="s">
        <v>58</v>
      </c>
      <c r="D39" s="9">
        <v>0</v>
      </c>
      <c r="E39" s="9">
        <v>0</v>
      </c>
      <c r="F39" s="9">
        <v>-90.594999999999999</v>
      </c>
      <c r="G39" s="9">
        <v>440.33499999999998</v>
      </c>
      <c r="H39" s="9">
        <v>-39.209000000000003</v>
      </c>
      <c r="I39" s="9">
        <v>-299.10300000000001</v>
      </c>
      <c r="K39" s="9">
        <f t="shared" si="25"/>
        <v>0</v>
      </c>
      <c r="L39" s="9">
        <f t="shared" si="26"/>
        <v>0</v>
      </c>
      <c r="M39" s="9">
        <f t="shared" si="27"/>
        <v>-289.3299693408278</v>
      </c>
      <c r="N39" s="9">
        <f t="shared" si="28"/>
        <v>1415.7771204424153</v>
      </c>
      <c r="O39" s="9">
        <f t="shared" si="19"/>
        <v>-126.42355065454313</v>
      </c>
      <c r="P39" s="9">
        <f t="shared" si="19"/>
        <v>-930.30698889614644</v>
      </c>
    </row>
    <row r="40" spans="2:16" outlineLevel="1" x14ac:dyDescent="0.25">
      <c r="B40" s="167" t="s">
        <v>59</v>
      </c>
      <c r="C40" s="167" t="s">
        <v>308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0.26200000000000001</v>
      </c>
      <c r="K40" s="9">
        <f t="shared" si="25"/>
        <v>0</v>
      </c>
      <c r="L40" s="9">
        <f t="shared" si="26"/>
        <v>0</v>
      </c>
      <c r="M40" s="9">
        <f t="shared" si="27"/>
        <v>0</v>
      </c>
      <c r="N40" s="9">
        <f t="shared" si="28"/>
        <v>0</v>
      </c>
      <c r="O40" s="9">
        <f t="shared" si="19"/>
        <v>0</v>
      </c>
      <c r="P40" s="9">
        <f t="shared" si="19"/>
        <v>0.81490466859506705</v>
      </c>
    </row>
    <row r="41" spans="2:16" outlineLevel="1" x14ac:dyDescent="0.25">
      <c r="B41" s="82" t="s">
        <v>60</v>
      </c>
      <c r="C41" s="82" t="s">
        <v>61</v>
      </c>
      <c r="D41" s="16">
        <v>0</v>
      </c>
      <c r="E41" s="16">
        <v>0</v>
      </c>
      <c r="F41" s="16">
        <v>385.09500000000003</v>
      </c>
      <c r="G41" s="16">
        <v>-28.13</v>
      </c>
      <c r="H41" s="16">
        <v>-25.701000000000001</v>
      </c>
      <c r="I41" s="16">
        <v>-6.84</v>
      </c>
      <c r="K41" s="16">
        <f t="shared" si="25"/>
        <v>0</v>
      </c>
      <c r="L41" s="16">
        <f t="shared" si="26"/>
        <v>0</v>
      </c>
      <c r="M41" s="16">
        <f t="shared" si="27"/>
        <v>1229.863949923352</v>
      </c>
      <c r="N41" s="16">
        <f t="shared" si="28"/>
        <v>-90.444344415150141</v>
      </c>
      <c r="O41" s="16">
        <f t="shared" si="19"/>
        <v>-82.869026891081461</v>
      </c>
      <c r="P41" s="16">
        <f t="shared" si="19"/>
        <v>-21.274610432023888</v>
      </c>
    </row>
    <row r="42" spans="2:16" outlineLevel="1" collapsed="1" x14ac:dyDescent="0.25">
      <c r="B42" s="167"/>
      <c r="C42" s="167"/>
      <c r="D42" s="9"/>
      <c r="E42" s="9"/>
      <c r="F42" s="9"/>
      <c r="G42" s="9"/>
      <c r="H42" s="9"/>
      <c r="I42" s="9"/>
      <c r="K42" s="9"/>
      <c r="L42" s="9"/>
      <c r="M42" s="9"/>
      <c r="N42" s="9"/>
      <c r="O42" s="9"/>
      <c r="P42" s="9"/>
    </row>
    <row r="43" spans="2:16" x14ac:dyDescent="0.25">
      <c r="B43" s="166" t="s">
        <v>62</v>
      </c>
      <c r="C43" s="166" t="s">
        <v>63</v>
      </c>
      <c r="D43" s="13">
        <f t="shared" ref="D43:F43" si="29">SUM(D44:D50)</f>
        <v>4126.7219999999998</v>
      </c>
      <c r="E43" s="13">
        <f t="shared" si="29"/>
        <v>6362.759</v>
      </c>
      <c r="F43" s="13">
        <f t="shared" si="29"/>
        <v>7034.7829999999994</v>
      </c>
      <c r="G43" s="13">
        <f>SUM(G44:G50)</f>
        <v>3947.2909999999993</v>
      </c>
      <c r="H43" s="13">
        <f>SUM(H44:H50)</f>
        <v>6254.7900000000009</v>
      </c>
      <c r="I43" s="13">
        <f>SUM(I44:I50)</f>
        <v>9130.4669999999987</v>
      </c>
      <c r="K43" s="13">
        <f t="shared" ref="K43" si="30">SUM(K44:K50)</f>
        <v>13898.89865615843</v>
      </c>
      <c r="L43" s="13">
        <f t="shared" ref="L43" si="31">SUM(L44:L50)</f>
        <v>20206.291085775985</v>
      </c>
      <c r="M43" s="13">
        <f t="shared" ref="M43" si="32">SUM(M44:M50)</f>
        <v>22466.731604496679</v>
      </c>
      <c r="N43" s="13">
        <f>SUM(N44:N50)</f>
        <v>12691.437849655971</v>
      </c>
      <c r="O43" s="13">
        <f>SUM(O44:O50)</f>
        <v>20167.633971754687</v>
      </c>
      <c r="P43" s="13">
        <f t="shared" ref="O43:P50" si="33">IFERROR(I43/P$3*1000,0)</f>
        <v>28398.702995241201</v>
      </c>
    </row>
    <row r="44" spans="2:16" x14ac:dyDescent="0.25">
      <c r="B44" s="167" t="s">
        <v>64</v>
      </c>
      <c r="C44" s="167" t="s">
        <v>24</v>
      </c>
      <c r="D44" s="9">
        <v>2940.2759999999998</v>
      </c>
      <c r="E44" s="9">
        <v>2417.0059999999999</v>
      </c>
      <c r="F44" s="9">
        <v>2374.165</v>
      </c>
      <c r="G44" s="9">
        <v>1924.751</v>
      </c>
      <c r="H44" s="9">
        <v>1789.587</v>
      </c>
      <c r="I44" s="9">
        <v>5263.1850000000004</v>
      </c>
      <c r="K44" s="9">
        <f t="shared" ref="K44:K50" si="34">IFERROR(D44/K$3*1000,0)</f>
        <v>9902.9200767909442</v>
      </c>
      <c r="L44" s="9">
        <f t="shared" ref="L44:L50" si="35">IFERROR(E44/L$3*1000,0)</f>
        <v>7675.7153291625646</v>
      </c>
      <c r="M44" s="9">
        <f t="shared" ref="M44:M50" si="36">IFERROR(F44/M$3*1000,0)</f>
        <v>7582.284747061829</v>
      </c>
      <c r="N44" s="9">
        <f t="shared" ref="N44:N50" si="37">IFERROR(G44/N$3*1000,0)</f>
        <v>6188.5119927978913</v>
      </c>
      <c r="O44" s="9">
        <f t="shared" si="33"/>
        <v>5770.2553685432395</v>
      </c>
      <c r="P44" s="9">
        <f t="shared" si="33"/>
        <v>16370.206214425682</v>
      </c>
    </row>
    <row r="45" spans="2:16" x14ac:dyDescent="0.25">
      <c r="B45" s="167" t="s">
        <v>65</v>
      </c>
      <c r="C45" s="167" t="s">
        <v>66</v>
      </c>
      <c r="D45" s="9">
        <v>498.40100000000001</v>
      </c>
      <c r="E45" s="9">
        <v>3208.7080000000001</v>
      </c>
      <c r="F45" s="9">
        <v>3301.5909999999999</v>
      </c>
      <c r="G45" s="9">
        <v>757.08699999999999</v>
      </c>
      <c r="H45" s="9">
        <v>3483.096</v>
      </c>
      <c r="I45" s="9">
        <v>2624.241</v>
      </c>
      <c r="K45" s="9">
        <f t="shared" si="34"/>
        <v>1678.6265198208209</v>
      </c>
      <c r="L45" s="9">
        <f t="shared" si="35"/>
        <v>10189.932992473563</v>
      </c>
      <c r="M45" s="9">
        <f t="shared" si="36"/>
        <v>10544.171563617781</v>
      </c>
      <c r="N45" s="9">
        <f t="shared" si="37"/>
        <v>2434.206803421002</v>
      </c>
      <c r="O45" s="9">
        <f t="shared" si="33"/>
        <v>11230.721609595666</v>
      </c>
      <c r="P45" s="9">
        <f t="shared" si="33"/>
        <v>8162.2375664831579</v>
      </c>
    </row>
    <row r="46" spans="2:16" x14ac:dyDescent="0.25">
      <c r="B46" s="167" t="s">
        <v>67</v>
      </c>
      <c r="C46" s="167" t="s">
        <v>68</v>
      </c>
      <c r="D46" s="9">
        <v>47.366</v>
      </c>
      <c r="E46" s="9">
        <v>49.792000000000002</v>
      </c>
      <c r="F46" s="9">
        <v>144.36099999999999</v>
      </c>
      <c r="G46" s="9">
        <v>126.687</v>
      </c>
      <c r="H46" s="9">
        <v>108.971</v>
      </c>
      <c r="I46" s="9">
        <v>286.298</v>
      </c>
      <c r="K46" s="9">
        <f t="shared" si="34"/>
        <v>159.52982385234583</v>
      </c>
      <c r="L46" s="9">
        <f t="shared" si="35"/>
        <v>158.12505954460289</v>
      </c>
      <c r="M46" s="9">
        <f t="shared" si="36"/>
        <v>461.04049565661728</v>
      </c>
      <c r="N46" s="9">
        <f t="shared" si="37"/>
        <v>407.32750305446598</v>
      </c>
      <c r="O46" s="9">
        <f t="shared" si="33"/>
        <v>351.36067582382151</v>
      </c>
      <c r="P46" s="9">
        <f t="shared" si="33"/>
        <v>890.47930079935315</v>
      </c>
    </row>
    <row r="47" spans="2:16" outlineLevel="1" x14ac:dyDescent="0.25">
      <c r="B47" s="167" t="s">
        <v>69</v>
      </c>
      <c r="C47" s="167" t="s">
        <v>70</v>
      </c>
      <c r="D47" s="9">
        <v>53.197000000000003</v>
      </c>
      <c r="E47" s="9">
        <v>71.197000000000003</v>
      </c>
      <c r="F47" s="9">
        <v>206.76300000000001</v>
      </c>
      <c r="G47" s="9">
        <v>268.86500000000001</v>
      </c>
      <c r="H47" s="9">
        <v>325.80799999999999</v>
      </c>
      <c r="I47" s="9">
        <v>277.54300000000001</v>
      </c>
      <c r="K47" s="9">
        <f t="shared" si="34"/>
        <v>179.16877168165436</v>
      </c>
      <c r="L47" s="9">
        <f t="shared" si="35"/>
        <v>226.10117818920895</v>
      </c>
      <c r="M47" s="9">
        <f t="shared" si="36"/>
        <v>660.33150229943794</v>
      </c>
      <c r="N47" s="9">
        <f t="shared" si="37"/>
        <v>864.46209246993772</v>
      </c>
      <c r="O47" s="9">
        <f t="shared" si="33"/>
        <v>1050.5191203972399</v>
      </c>
      <c r="P47" s="9">
        <f t="shared" si="33"/>
        <v>863.24842151099506</v>
      </c>
    </row>
    <row r="48" spans="2:16" outlineLevel="1" x14ac:dyDescent="0.25">
      <c r="B48" s="167" t="s">
        <v>71</v>
      </c>
      <c r="C48" s="167" t="s">
        <v>72</v>
      </c>
      <c r="D48" s="9">
        <v>49.088999999999999</v>
      </c>
      <c r="E48" s="9">
        <v>52.817</v>
      </c>
      <c r="F48" s="9">
        <v>621.59400000000005</v>
      </c>
      <c r="G48" s="9">
        <v>551.67600000000004</v>
      </c>
      <c r="H48" s="9">
        <v>326.08999999999997</v>
      </c>
      <c r="I48" s="9">
        <v>251.739</v>
      </c>
      <c r="K48" s="9">
        <f t="shared" si="34"/>
        <v>165.33292917045566</v>
      </c>
      <c r="L48" s="9">
        <f t="shared" si="35"/>
        <v>167.73158880879038</v>
      </c>
      <c r="M48" s="9">
        <f t="shared" si="36"/>
        <v>1985.1622381195709</v>
      </c>
      <c r="N48" s="9">
        <f t="shared" si="37"/>
        <v>1773.7637450967786</v>
      </c>
      <c r="O48" s="9">
        <f t="shared" si="33"/>
        <v>1051.4283871799832</v>
      </c>
      <c r="P48" s="9">
        <f t="shared" si="33"/>
        <v>782.98964262386858</v>
      </c>
    </row>
    <row r="49" spans="2:16" outlineLevel="1" x14ac:dyDescent="0.25">
      <c r="B49" s="167" t="s">
        <v>73</v>
      </c>
      <c r="C49" s="167" t="s">
        <v>74</v>
      </c>
      <c r="D49" s="9">
        <v>59.533000000000001</v>
      </c>
      <c r="E49" s="9">
        <v>87.713999999999999</v>
      </c>
      <c r="F49" s="9">
        <v>386.30900000000003</v>
      </c>
      <c r="G49" s="9">
        <v>318.22500000000002</v>
      </c>
      <c r="H49" s="9">
        <v>221.238</v>
      </c>
      <c r="I49" s="9">
        <v>141.24799999999999</v>
      </c>
      <c r="K49" s="9">
        <f t="shared" si="34"/>
        <v>200.50857162102992</v>
      </c>
      <c r="L49" s="9">
        <f t="shared" si="35"/>
        <v>278.55441582774938</v>
      </c>
      <c r="M49" s="9">
        <f t="shared" si="36"/>
        <v>1233.741057741441</v>
      </c>
      <c r="N49" s="9">
        <f t="shared" si="37"/>
        <v>1023.1657128158962</v>
      </c>
      <c r="O49" s="9">
        <f t="shared" si="33"/>
        <v>713.34881021474177</v>
      </c>
      <c r="P49" s="9">
        <f t="shared" si="33"/>
        <v>439.32692606761844</v>
      </c>
    </row>
    <row r="50" spans="2:16" outlineLevel="1" x14ac:dyDescent="0.25">
      <c r="B50" s="167" t="s">
        <v>75</v>
      </c>
      <c r="C50" s="167" t="s">
        <v>76</v>
      </c>
      <c r="D50" s="9">
        <v>478.86</v>
      </c>
      <c r="E50" s="9">
        <v>475.52499999999998</v>
      </c>
      <c r="F50" s="9">
        <v>0</v>
      </c>
      <c r="G50" s="9">
        <v>0</v>
      </c>
      <c r="H50" s="11">
        <v>0</v>
      </c>
      <c r="I50" s="11">
        <v>286.21300000000002</v>
      </c>
      <c r="K50" s="9">
        <f t="shared" si="34"/>
        <v>1612.8119632211781</v>
      </c>
      <c r="L50" s="9">
        <f t="shared" si="35"/>
        <v>1510.1305217695069</v>
      </c>
      <c r="M50" s="9">
        <f t="shared" si="36"/>
        <v>0</v>
      </c>
      <c r="N50" s="9">
        <f t="shared" si="37"/>
        <v>0</v>
      </c>
      <c r="O50" s="9">
        <f t="shared" si="33"/>
        <v>0</v>
      </c>
      <c r="P50" s="9">
        <f t="shared" si="33"/>
        <v>890.21492333053413</v>
      </c>
    </row>
    <row r="51" spans="2:16" outlineLevel="1" collapsed="1" x14ac:dyDescent="0.25">
      <c r="B51" s="167"/>
      <c r="C51" s="167"/>
      <c r="D51" s="9"/>
      <c r="E51" s="9"/>
      <c r="F51" s="9"/>
      <c r="G51" s="9"/>
      <c r="H51" s="9"/>
      <c r="I51" s="9"/>
      <c r="K51" s="9"/>
      <c r="L51" s="9"/>
      <c r="M51" s="9"/>
      <c r="N51" s="9"/>
      <c r="O51" s="9"/>
      <c r="P51" s="9"/>
    </row>
    <row r="52" spans="2:16" x14ac:dyDescent="0.25">
      <c r="B52" s="166" t="s">
        <v>77</v>
      </c>
      <c r="C52" s="166" t="s">
        <v>78</v>
      </c>
      <c r="D52" s="13">
        <f t="shared" ref="D52:G52" si="38">SUM(D53:D59)</f>
        <v>2536.5129999999999</v>
      </c>
      <c r="E52" s="13">
        <f t="shared" si="38"/>
        <v>1898.0939999999998</v>
      </c>
      <c r="F52" s="13">
        <f t="shared" si="38"/>
        <v>4360.8360000000002</v>
      </c>
      <c r="G52" s="13">
        <f t="shared" si="38"/>
        <v>7303.8940000000002</v>
      </c>
      <c r="H52" s="13">
        <f>SUM(H53:H59)</f>
        <v>5277.835</v>
      </c>
      <c r="I52" s="13">
        <f>SUM(I53:I59)</f>
        <v>8583.896999999999</v>
      </c>
      <c r="K52" s="13">
        <f t="shared" ref="K52" si="39">SUM(K53:K59)</f>
        <v>8543.036610420666</v>
      </c>
      <c r="L52" s="13">
        <f t="shared" ref="L52" si="40">SUM(L53:L59)</f>
        <v>6027.8001841913047</v>
      </c>
      <c r="M52" s="13">
        <f t="shared" ref="M52" si="41">SUM(M53:M59)</f>
        <v>13927.043944813489</v>
      </c>
      <c r="N52" s="13">
        <f t="shared" ref="N52" si="42">SUM(N53:N59)</f>
        <v>23483.679506141085</v>
      </c>
      <c r="O52" s="13">
        <f>SUM(O53:O59)</f>
        <v>17017.588830850586</v>
      </c>
      <c r="P52" s="13">
        <f t="shared" ref="O52:P59" si="43">IFERROR(I52/P$3*1000,0)</f>
        <v>26698.693664271716</v>
      </c>
    </row>
    <row r="53" spans="2:16" x14ac:dyDescent="0.25">
      <c r="B53" s="167" t="s">
        <v>79</v>
      </c>
      <c r="C53" s="99" t="s">
        <v>315</v>
      </c>
      <c r="D53" s="9">
        <v>1079.4010000000001</v>
      </c>
      <c r="E53" s="9">
        <v>299.99799999999999</v>
      </c>
      <c r="F53" s="9">
        <v>733.95399999999995</v>
      </c>
      <c r="G53" s="9">
        <v>500.62400000000002</v>
      </c>
      <c r="H53" s="9">
        <v>522.36400000000003</v>
      </c>
      <c r="I53" s="9">
        <v>614.06200000000001</v>
      </c>
      <c r="K53" s="9">
        <f t="shared" ref="K53:K59" si="44">IFERROR(D53/K$3*1000,0)</f>
        <v>3635.4484523929809</v>
      </c>
      <c r="L53" s="9">
        <f t="shared" ref="L53:L59" si="45">IFERROR(E53/L$3*1000,0)</f>
        <v>952.70729461081646</v>
      </c>
      <c r="M53" s="9">
        <f t="shared" ref="M53:M59" si="46">IFERROR(F53/M$3*1000,0)</f>
        <v>2344.0022994379151</v>
      </c>
      <c r="N53" s="9">
        <f t="shared" ref="N53:N59" si="47">IFERROR(G53/N$3*1000,0)</f>
        <v>1609.6199601311814</v>
      </c>
      <c r="O53" s="9">
        <f t="shared" si="43"/>
        <v>1684.2845166698912</v>
      </c>
      <c r="P53" s="9">
        <f t="shared" si="43"/>
        <v>1909.9312618581073</v>
      </c>
    </row>
    <row r="54" spans="2:16" x14ac:dyDescent="0.25">
      <c r="B54" s="167" t="s">
        <v>80</v>
      </c>
      <c r="C54" s="167" t="s">
        <v>180</v>
      </c>
      <c r="D54" s="17">
        <v>0</v>
      </c>
      <c r="E54" s="17">
        <v>0</v>
      </c>
      <c r="F54" s="17">
        <v>0</v>
      </c>
      <c r="G54" s="9">
        <v>2643.366</v>
      </c>
      <c r="H54" s="9">
        <v>24.731999999999999</v>
      </c>
      <c r="I54" s="9">
        <v>982.68299999999999</v>
      </c>
      <c r="K54" s="9">
        <f t="shared" si="44"/>
        <v>0</v>
      </c>
      <c r="L54" s="9">
        <f t="shared" si="45"/>
        <v>0</v>
      </c>
      <c r="M54" s="9">
        <f t="shared" si="46"/>
        <v>0</v>
      </c>
      <c r="N54" s="9">
        <f t="shared" si="47"/>
        <v>8499.0225708957623</v>
      </c>
      <c r="O54" s="9">
        <f t="shared" si="43"/>
        <v>79.744631456761454</v>
      </c>
      <c r="P54" s="9">
        <f t="shared" si="43"/>
        <v>3056.4616963702533</v>
      </c>
    </row>
    <row r="55" spans="2:16" outlineLevel="1" x14ac:dyDescent="0.25">
      <c r="B55" s="167" t="s">
        <v>81</v>
      </c>
      <c r="C55" s="167" t="s">
        <v>82</v>
      </c>
      <c r="D55" s="9">
        <v>872.524</v>
      </c>
      <c r="E55" s="9">
        <v>958.49300000000005</v>
      </c>
      <c r="F55" s="9">
        <v>1596.1759999999999</v>
      </c>
      <c r="G55" s="9">
        <v>2533.9160000000002</v>
      </c>
      <c r="H55" s="9">
        <v>2092.355</v>
      </c>
      <c r="I55" s="9">
        <v>2419.6129999999998</v>
      </c>
      <c r="K55" s="9">
        <f t="shared" si="44"/>
        <v>2938.6817554140985</v>
      </c>
      <c r="L55" s="9">
        <f t="shared" si="45"/>
        <v>3043.8978690971453</v>
      </c>
      <c r="M55" s="9">
        <f t="shared" si="46"/>
        <v>5097.649463464486</v>
      </c>
      <c r="N55" s="9">
        <f t="shared" si="47"/>
        <v>8147.1159410970358</v>
      </c>
      <c r="O55" s="9">
        <f t="shared" si="43"/>
        <v>6746.4854581801774</v>
      </c>
      <c r="P55" s="9">
        <f t="shared" si="43"/>
        <v>7525.7783583714345</v>
      </c>
    </row>
    <row r="56" spans="2:16" outlineLevel="1" x14ac:dyDescent="0.25">
      <c r="B56" s="167" t="s">
        <v>83</v>
      </c>
      <c r="C56" s="167" t="s">
        <v>84</v>
      </c>
      <c r="D56" s="9">
        <v>0.4</v>
      </c>
      <c r="E56" s="9">
        <v>0</v>
      </c>
      <c r="F56" s="9">
        <v>102.04600000000001</v>
      </c>
      <c r="G56" s="9">
        <v>41.305999999999997</v>
      </c>
      <c r="H56" s="9">
        <v>305.70400000000001</v>
      </c>
      <c r="I56" s="9">
        <v>602.53300000000002</v>
      </c>
      <c r="K56" s="9">
        <f t="shared" si="44"/>
        <v>1.347209592132296</v>
      </c>
      <c r="L56" s="9">
        <f t="shared" si="45"/>
        <v>0</v>
      </c>
      <c r="M56" s="9">
        <f t="shared" si="46"/>
        <v>325.90061318344402</v>
      </c>
      <c r="N56" s="9">
        <f t="shared" si="47"/>
        <v>132.80817953829336</v>
      </c>
      <c r="O56" s="9">
        <f t="shared" si="43"/>
        <v>985.69678209840731</v>
      </c>
      <c r="P56" s="9">
        <f t="shared" si="43"/>
        <v>1874.0723461167618</v>
      </c>
    </row>
    <row r="57" spans="2:16" outlineLevel="1" x14ac:dyDescent="0.25">
      <c r="B57" s="167" t="s">
        <v>85</v>
      </c>
      <c r="C57" s="167" t="s">
        <v>86</v>
      </c>
      <c r="D57" s="9">
        <v>294.46600000000001</v>
      </c>
      <c r="E57" s="9">
        <v>266.428</v>
      </c>
      <c r="F57" s="9">
        <v>1923.877</v>
      </c>
      <c r="G57" s="9">
        <v>1468.8589999999999</v>
      </c>
      <c r="H57" s="9">
        <v>1683.2329999999999</v>
      </c>
      <c r="I57" s="9">
        <v>3584.8510000000001</v>
      </c>
      <c r="K57" s="9">
        <f t="shared" si="44"/>
        <v>991.76854939207158</v>
      </c>
      <c r="L57" s="9">
        <f t="shared" si="45"/>
        <v>846.09863761948623</v>
      </c>
      <c r="M57" s="9">
        <f t="shared" si="46"/>
        <v>6144.2162749105773</v>
      </c>
      <c r="N57" s="9">
        <f t="shared" si="47"/>
        <v>4722.7155809915757</v>
      </c>
      <c r="O57" s="9">
        <f t="shared" si="43"/>
        <v>5427.3328174372864</v>
      </c>
      <c r="P57" s="9">
        <f t="shared" si="43"/>
        <v>11150.045099685858</v>
      </c>
    </row>
    <row r="58" spans="2:16" outlineLevel="1" x14ac:dyDescent="0.25">
      <c r="B58" s="167" t="s">
        <v>87</v>
      </c>
      <c r="C58" s="167" t="s">
        <v>88</v>
      </c>
      <c r="D58" s="9">
        <v>0</v>
      </c>
      <c r="E58" s="9">
        <v>1.367</v>
      </c>
      <c r="F58" s="9">
        <v>4.7830000000000004</v>
      </c>
      <c r="G58" s="9">
        <v>9.0730000000000004</v>
      </c>
      <c r="H58" s="9">
        <v>9.8450000000000006</v>
      </c>
      <c r="I58" s="9">
        <v>15.425000000000001</v>
      </c>
      <c r="K58" s="9">
        <f t="shared" si="44"/>
        <v>0</v>
      </c>
      <c r="L58" s="9">
        <f t="shared" si="45"/>
        <v>4.3411985137667122</v>
      </c>
      <c r="M58" s="9">
        <f t="shared" si="46"/>
        <v>15.27529381706694</v>
      </c>
      <c r="N58" s="9">
        <f t="shared" si="47"/>
        <v>29.171757443251241</v>
      </c>
      <c r="O58" s="9">
        <f t="shared" si="43"/>
        <v>31.743728638679311</v>
      </c>
      <c r="P58" s="9">
        <f t="shared" si="43"/>
        <v>47.976734782743932</v>
      </c>
    </row>
    <row r="59" spans="2:16" outlineLevel="1" x14ac:dyDescent="0.25">
      <c r="B59" s="167" t="s">
        <v>89</v>
      </c>
      <c r="C59" s="167" t="s">
        <v>90</v>
      </c>
      <c r="D59" s="9">
        <v>289.72199999999998</v>
      </c>
      <c r="E59" s="9">
        <v>371.80799999999999</v>
      </c>
      <c r="F59" s="9">
        <v>0</v>
      </c>
      <c r="G59" s="9">
        <v>106.75</v>
      </c>
      <c r="H59" s="9">
        <v>639.60199999999998</v>
      </c>
      <c r="I59" s="9">
        <v>364.73</v>
      </c>
      <c r="K59" s="9">
        <f t="shared" si="44"/>
        <v>975.79064362938254</v>
      </c>
      <c r="L59" s="9">
        <f t="shared" si="45"/>
        <v>1180.7551843500905</v>
      </c>
      <c r="M59" s="9">
        <f t="shared" si="46"/>
        <v>0</v>
      </c>
      <c r="N59" s="9">
        <f t="shared" si="47"/>
        <v>343.22551604398433</v>
      </c>
      <c r="O59" s="9">
        <f t="shared" si="43"/>
        <v>2062.3008963693815</v>
      </c>
      <c r="P59" s="9">
        <f t="shared" si="43"/>
        <v>1134.4281670865603</v>
      </c>
    </row>
    <row r="60" spans="2:16" ht="15.75" thickBot="1" x14ac:dyDescent="0.3">
      <c r="B60" s="167"/>
      <c r="C60" s="167"/>
      <c r="D60" s="9"/>
      <c r="E60" s="9"/>
      <c r="F60" s="9"/>
      <c r="G60" s="9"/>
      <c r="H60" s="9"/>
      <c r="I60" s="9"/>
      <c r="K60" s="9"/>
      <c r="L60" s="9"/>
      <c r="M60" s="9"/>
      <c r="N60" s="9"/>
      <c r="O60" s="9"/>
      <c r="P60" s="9"/>
    </row>
    <row r="61" spans="2:16" ht="15.75" thickBot="1" x14ac:dyDescent="0.3">
      <c r="B61" s="169" t="s">
        <v>91</v>
      </c>
      <c r="C61" s="169" t="s">
        <v>92</v>
      </c>
      <c r="D61" s="14">
        <f t="shared" ref="D61:F61" si="48">+D52+D43+D32</f>
        <v>8536.601999999999</v>
      </c>
      <c r="E61" s="14">
        <f t="shared" si="48"/>
        <v>9788.3069999999989</v>
      </c>
      <c r="F61" s="14">
        <f t="shared" si="48"/>
        <v>13939.216</v>
      </c>
      <c r="G61" s="14">
        <f>+G52+G43+G32</f>
        <v>16147.832999999999</v>
      </c>
      <c r="H61" s="14">
        <f>+H52+H43+H32</f>
        <v>16652.12</v>
      </c>
      <c r="I61" s="14">
        <f>+I52+I43+I32</f>
        <v>22859.096999999998</v>
      </c>
      <c r="K61" s="14">
        <f t="shared" ref="K61:M61" si="49">+K52+K43+K32</f>
        <v>28751.480246539351</v>
      </c>
      <c r="L61" s="14">
        <f t="shared" si="49"/>
        <v>31084.845501603737</v>
      </c>
      <c r="M61" s="14">
        <f t="shared" si="49"/>
        <v>44517.169136433316</v>
      </c>
      <c r="N61" s="14">
        <f>+N52+N43+N32</f>
        <v>51918.953765031183</v>
      </c>
      <c r="O61" s="14">
        <f>+O52+O43+O32</f>
        <v>53692.26800799639</v>
      </c>
      <c r="P61" s="14">
        <f>+P52+P43+P32</f>
        <v>71099.17887468508</v>
      </c>
    </row>
    <row r="62" spans="2:16" x14ac:dyDescent="0.25">
      <c r="B62" s="8"/>
      <c r="C62" s="8"/>
      <c r="D62" s="17"/>
      <c r="E62" s="17"/>
      <c r="F62" s="18"/>
      <c r="G62" s="18"/>
      <c r="H62" s="18"/>
      <c r="I62" s="18"/>
    </row>
    <row r="63" spans="2:16" x14ac:dyDescent="0.25">
      <c r="B63" s="8"/>
      <c r="C63" s="8"/>
      <c r="D63" s="18">
        <f>+D61-D30</f>
        <v>0</v>
      </c>
      <c r="E63" s="18">
        <f t="shared" ref="E63:P63" si="50">+E61-E30</f>
        <v>0</v>
      </c>
      <c r="F63" s="18">
        <f t="shared" si="50"/>
        <v>0</v>
      </c>
      <c r="G63" s="18">
        <f t="shared" si="50"/>
        <v>0</v>
      </c>
      <c r="H63" s="18">
        <f t="shared" si="50"/>
        <v>0</v>
      </c>
      <c r="I63" s="18">
        <f t="shared" si="50"/>
        <v>-1.0000000002037268E-3</v>
      </c>
      <c r="J63" s="18"/>
      <c r="K63" s="18">
        <f t="shared" si="50"/>
        <v>0</v>
      </c>
      <c r="L63" s="18">
        <f t="shared" si="50"/>
        <v>0</v>
      </c>
      <c r="M63" s="18">
        <f t="shared" si="50"/>
        <v>0</v>
      </c>
      <c r="N63" s="18">
        <f t="shared" si="50"/>
        <v>0</v>
      </c>
      <c r="O63" s="18">
        <f t="shared" si="50"/>
        <v>0</v>
      </c>
      <c r="P63" s="18">
        <f t="shared" si="50"/>
        <v>-3.1103231740416959E-3</v>
      </c>
    </row>
    <row r="64" spans="2:16" x14ac:dyDescent="0.25">
      <c r="B64" s="8"/>
      <c r="C64" s="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6" x14ac:dyDescent="0.25">
      <c r="A65" s="1" t="s">
        <v>275</v>
      </c>
      <c r="B65" s="8" t="s">
        <v>168</v>
      </c>
      <c r="C65" s="8"/>
      <c r="D65" s="18"/>
      <c r="E65" s="18"/>
      <c r="F65" s="18"/>
      <c r="G65" s="18"/>
      <c r="H65" s="18"/>
      <c r="I65" s="18"/>
      <c r="J65" s="18"/>
      <c r="K65" s="44">
        <v>296.92</v>
      </c>
      <c r="L65" s="44">
        <v>308.66000000000003</v>
      </c>
      <c r="M65" s="44">
        <v>309.89999999999998</v>
      </c>
      <c r="N65" s="44">
        <v>311.45999999999998</v>
      </c>
      <c r="O65" s="44">
        <v>309.20999999999998</v>
      </c>
      <c r="P65" s="44">
        <v>318.87</v>
      </c>
    </row>
    <row r="66" spans="1:16" x14ac:dyDescent="0.25">
      <c r="B66" s="3" t="s">
        <v>166</v>
      </c>
      <c r="C66" s="3" t="s">
        <v>284</v>
      </c>
      <c r="G66" s="3">
        <v>2016</v>
      </c>
      <c r="H66" s="3">
        <v>2017</v>
      </c>
      <c r="I66" s="3">
        <v>2018</v>
      </c>
      <c r="N66" s="3">
        <v>2016</v>
      </c>
      <c r="O66" s="3">
        <v>2017</v>
      </c>
      <c r="P66" s="3">
        <v>2018</v>
      </c>
    </row>
    <row r="67" spans="1:16" x14ac:dyDescent="0.25">
      <c r="B67" s="3"/>
      <c r="C67" s="3" t="s">
        <v>167</v>
      </c>
      <c r="G67" s="3" t="s">
        <v>3</v>
      </c>
      <c r="H67" s="3" t="s">
        <v>3</v>
      </c>
      <c r="I67" s="3" t="s">
        <v>3</v>
      </c>
      <c r="N67" s="3" t="s">
        <v>3</v>
      </c>
      <c r="O67" s="3" t="s">
        <v>3</v>
      </c>
      <c r="P67" s="3" t="s">
        <v>3</v>
      </c>
    </row>
    <row r="68" spans="1:16" x14ac:dyDescent="0.25">
      <c r="B68" s="21" t="s">
        <v>98</v>
      </c>
      <c r="C68" s="21" t="s">
        <v>142</v>
      </c>
      <c r="G68" s="22">
        <v>13948.218707</v>
      </c>
      <c r="H68" s="22">
        <v>18389.28427</v>
      </c>
      <c r="I68" s="22">
        <v>18685.767</v>
      </c>
      <c r="N68" s="22">
        <f t="shared" ref="N68:N77" si="51">+G68/N$65*1000</f>
        <v>44783.338813972907</v>
      </c>
      <c r="O68" s="22">
        <f t="shared" ref="O68:O77" si="52">+H68/O$65*1000</f>
        <v>59471.829080560143</v>
      </c>
      <c r="P68" s="22">
        <f t="shared" ref="P68:P77" si="53">+I68/P$65*1000</f>
        <v>58599.952958886061</v>
      </c>
    </row>
    <row r="69" spans="1:16" x14ac:dyDescent="0.25">
      <c r="B69" s="23" t="s">
        <v>170</v>
      </c>
      <c r="C69" s="23" t="s">
        <v>143</v>
      </c>
      <c r="G69" s="24">
        <v>-9249.8197920000002</v>
      </c>
      <c r="H69" s="24">
        <v>-14606.384983</v>
      </c>
      <c r="I69" s="24">
        <v>-14264.353999999999</v>
      </c>
      <c r="N69" s="24">
        <f t="shared" si="51"/>
        <v>-29698.259140820654</v>
      </c>
      <c r="O69" s="24">
        <f t="shared" si="52"/>
        <v>-47237.750988001688</v>
      </c>
      <c r="P69" s="24">
        <f t="shared" si="53"/>
        <v>-44734.07344685922</v>
      </c>
    </row>
    <row r="70" spans="1:16" x14ac:dyDescent="0.25">
      <c r="B70" s="25" t="s">
        <v>144</v>
      </c>
      <c r="C70" s="25" t="s">
        <v>145</v>
      </c>
      <c r="G70" s="26">
        <v>-2315.8180090000001</v>
      </c>
      <c r="H70" s="26">
        <v>-2153.922556</v>
      </c>
      <c r="I70" s="26">
        <v>-2506.5340000000001</v>
      </c>
      <c r="N70" s="26">
        <f t="shared" si="51"/>
        <v>-7435.3625152507557</v>
      </c>
      <c r="O70" s="26">
        <f t="shared" si="52"/>
        <v>-6965.8890592154212</v>
      </c>
      <c r="P70" s="26">
        <f t="shared" si="53"/>
        <v>-7860.676764825791</v>
      </c>
    </row>
    <row r="71" spans="1:16" x14ac:dyDescent="0.25">
      <c r="B71" s="25" t="s">
        <v>146</v>
      </c>
      <c r="C71" s="25" t="s">
        <v>147</v>
      </c>
      <c r="G71" s="26">
        <v>-601.331996</v>
      </c>
      <c r="H71" s="26">
        <v>-571.66508499999998</v>
      </c>
      <c r="I71" s="26">
        <v>-729.81799999999998</v>
      </c>
      <c r="N71" s="26">
        <f t="shared" si="51"/>
        <v>-1930.6877159185772</v>
      </c>
      <c r="O71" s="26">
        <f t="shared" si="52"/>
        <v>-1848.7923579444391</v>
      </c>
      <c r="P71" s="26">
        <f t="shared" si="53"/>
        <v>-2288.7634459183996</v>
      </c>
    </row>
    <row r="72" spans="1:16" x14ac:dyDescent="0.25">
      <c r="B72" s="25" t="s">
        <v>108</v>
      </c>
      <c r="C72" s="25" t="s">
        <v>148</v>
      </c>
      <c r="G72" s="26">
        <v>-68.911270999999999</v>
      </c>
      <c r="H72" s="26">
        <v>305.97678999999999</v>
      </c>
      <c r="I72" s="26">
        <v>-146.83500000000001</v>
      </c>
      <c r="N72" s="26">
        <f t="shared" si="51"/>
        <v>-221.25239517112951</v>
      </c>
      <c r="O72" s="26">
        <f t="shared" si="52"/>
        <v>989.54364347854221</v>
      </c>
      <c r="P72" s="26">
        <f t="shared" si="53"/>
        <v>-460.48546429579454</v>
      </c>
    </row>
    <row r="73" spans="1:16" x14ac:dyDescent="0.25">
      <c r="B73" s="25" t="s">
        <v>149</v>
      </c>
      <c r="C73" s="25" t="s">
        <v>150</v>
      </c>
      <c r="G73" s="26">
        <v>-228.953</v>
      </c>
      <c r="H73" s="26">
        <v>-1.35</v>
      </c>
      <c r="I73" s="26">
        <v>0</v>
      </c>
      <c r="N73" s="26">
        <f t="shared" si="51"/>
        <v>-735.09599948629045</v>
      </c>
      <c r="O73" s="26">
        <f t="shared" si="52"/>
        <v>-4.365964878238092</v>
      </c>
      <c r="P73" s="26">
        <f t="shared" si="53"/>
        <v>0</v>
      </c>
    </row>
    <row r="74" spans="1:16" x14ac:dyDescent="0.25">
      <c r="B74" s="27" t="s">
        <v>151</v>
      </c>
      <c r="C74" s="27" t="s">
        <v>152</v>
      </c>
      <c r="G74" s="28">
        <f>SUM(G68:G73)</f>
        <v>1483.3846389999999</v>
      </c>
      <c r="H74" s="28">
        <f>SUM(H68:H73)</f>
        <v>1361.9384360000001</v>
      </c>
      <c r="I74" s="85">
        <f>SUM(I68:I73)</f>
        <v>1038.2260000000003</v>
      </c>
      <c r="N74" s="28">
        <f t="shared" si="51"/>
        <v>4762.6810473254991</v>
      </c>
      <c r="O74" s="28">
        <f t="shared" si="52"/>
        <v>4404.5743539989016</v>
      </c>
      <c r="P74" s="28">
        <f t="shared" si="53"/>
        <v>3255.953836986861</v>
      </c>
    </row>
    <row r="75" spans="1:16" x14ac:dyDescent="0.25">
      <c r="B75" s="25" t="s">
        <v>153</v>
      </c>
      <c r="C75" s="25" t="s">
        <v>154</v>
      </c>
      <c r="G75" s="26">
        <v>-455.72423900000001</v>
      </c>
      <c r="H75" s="26">
        <v>-329.10903100000002</v>
      </c>
      <c r="I75" s="26">
        <v>-232.333</v>
      </c>
      <c r="N75" s="26">
        <f t="shared" si="51"/>
        <v>-1463.187051306749</v>
      </c>
      <c r="O75" s="26">
        <f t="shared" si="52"/>
        <v>-1064.3544225607193</v>
      </c>
      <c r="P75" s="26">
        <f t="shared" si="53"/>
        <v>-728.61354156866435</v>
      </c>
    </row>
    <row r="76" spans="1:16" x14ac:dyDescent="0.25">
      <c r="B76" s="29" t="s">
        <v>120</v>
      </c>
      <c r="C76" s="29" t="s">
        <v>155</v>
      </c>
      <c r="G76" s="28">
        <f>+G74+G75</f>
        <v>1027.6603999999998</v>
      </c>
      <c r="H76" s="28">
        <f>+H74+H75</f>
        <v>1032.8294050000002</v>
      </c>
      <c r="I76" s="28">
        <f>+I74+I75</f>
        <v>805.89300000000037</v>
      </c>
      <c r="N76" s="28">
        <f t="shared" si="51"/>
        <v>3299.4939960187498</v>
      </c>
      <c r="O76" s="28">
        <f t="shared" si="52"/>
        <v>3340.2199314381819</v>
      </c>
      <c r="P76" s="28">
        <f t="shared" si="53"/>
        <v>2527.3402954181965</v>
      </c>
    </row>
    <row r="77" spans="1:16" x14ac:dyDescent="0.25">
      <c r="B77" s="25" t="s">
        <v>122</v>
      </c>
      <c r="C77" s="25" t="s">
        <v>156</v>
      </c>
      <c r="G77" s="26">
        <v>-204.73514900000001</v>
      </c>
      <c r="H77" s="26">
        <v>-117.87471600000001</v>
      </c>
      <c r="I77" s="26">
        <v>-275.81400000000002</v>
      </c>
      <c r="N77" s="26">
        <f t="shared" si="51"/>
        <v>-657.34010466833627</v>
      </c>
      <c r="O77" s="26">
        <f t="shared" si="52"/>
        <v>-381.21249636169597</v>
      </c>
      <c r="P77" s="26">
        <f t="shared" si="53"/>
        <v>-864.97318656505797</v>
      </c>
    </row>
    <row r="78" spans="1:16" x14ac:dyDescent="0.25">
      <c r="B78" s="84" t="s">
        <v>282</v>
      </c>
      <c r="C78" s="39" t="s">
        <v>283</v>
      </c>
      <c r="G78" s="26"/>
      <c r="H78" s="26">
        <v>-136</v>
      </c>
      <c r="I78" s="26">
        <v>-212</v>
      </c>
      <c r="N78" s="26"/>
      <c r="O78" s="26"/>
      <c r="P78" s="26"/>
    </row>
    <row r="79" spans="1:16" x14ac:dyDescent="0.25">
      <c r="B79" s="29" t="s">
        <v>124</v>
      </c>
      <c r="C79" s="29" t="s">
        <v>157</v>
      </c>
      <c r="G79" s="28">
        <f>+G76+G77</f>
        <v>822.92525099999978</v>
      </c>
      <c r="H79" s="28">
        <f>+H76+H77</f>
        <v>914.95468900000014</v>
      </c>
      <c r="I79" s="28">
        <f>+I76+I77</f>
        <v>530.07900000000041</v>
      </c>
      <c r="N79" s="28">
        <f t="shared" ref="N79:P86" si="54">+G79/N$65*1000</f>
        <v>2642.1538913504132</v>
      </c>
      <c r="O79" s="28">
        <f t="shared" si="54"/>
        <v>2959.0074350764862</v>
      </c>
      <c r="P79" s="28">
        <f t="shared" si="54"/>
        <v>1662.3671088531389</v>
      </c>
    </row>
    <row r="80" spans="1:16" x14ac:dyDescent="0.25">
      <c r="B80" s="31" t="s">
        <v>126</v>
      </c>
      <c r="C80" s="25" t="s">
        <v>158</v>
      </c>
      <c r="G80" s="26">
        <v>728.10356541538465</v>
      </c>
      <c r="H80" s="26">
        <v>912.52596700000004</v>
      </c>
      <c r="I80" s="26">
        <v>511.21800000000002</v>
      </c>
      <c r="N80" s="26">
        <f t="shared" si="54"/>
        <v>2337.711312577489</v>
      </c>
      <c r="O80" s="26">
        <f t="shared" si="54"/>
        <v>2951.1528314090751</v>
      </c>
      <c r="P80" s="26">
        <f t="shared" si="54"/>
        <v>1603.2176121930568</v>
      </c>
    </row>
    <row r="81" spans="2:16" x14ac:dyDescent="0.25">
      <c r="B81" s="32" t="s">
        <v>159</v>
      </c>
      <c r="C81" s="32" t="s">
        <v>160</v>
      </c>
      <c r="G81" s="33">
        <v>94.821685584615366</v>
      </c>
      <c r="H81" s="33">
        <v>2.428722</v>
      </c>
      <c r="I81" s="33">
        <v>18.861000000000001</v>
      </c>
      <c r="N81" s="33">
        <f t="shared" si="54"/>
        <v>304.44257877292546</v>
      </c>
      <c r="O81" s="33">
        <f t="shared" si="54"/>
        <v>7.8546036674104984</v>
      </c>
      <c r="P81" s="33">
        <f t="shared" si="54"/>
        <v>59.149496660080906</v>
      </c>
    </row>
    <row r="82" spans="2:16" ht="15.75" thickBot="1" x14ac:dyDescent="0.3">
      <c r="B82" s="25" t="s">
        <v>161</v>
      </c>
      <c r="C82" s="25" t="s">
        <v>162</v>
      </c>
      <c r="G82" s="26">
        <v>547.51092714919992</v>
      </c>
      <c r="H82" s="26">
        <v>-479.54411900000002</v>
      </c>
      <c r="I82" s="26">
        <v>-259.63200000000001</v>
      </c>
      <c r="N82" s="26">
        <f t="shared" si="54"/>
        <v>1757.8852088525009</v>
      </c>
      <c r="O82" s="26">
        <f t="shared" si="54"/>
        <v>-1550.8687267552798</v>
      </c>
      <c r="P82" s="26">
        <f t="shared" si="54"/>
        <v>-814.22523285351406</v>
      </c>
    </row>
    <row r="83" spans="2:16" ht="16.5" thickTop="1" thickBot="1" x14ac:dyDescent="0.3">
      <c r="B83" s="34" t="s">
        <v>133</v>
      </c>
      <c r="C83" s="34" t="s">
        <v>163</v>
      </c>
      <c r="G83" s="35">
        <f>+G79+G82</f>
        <v>1370.4361781491998</v>
      </c>
      <c r="H83" s="35">
        <f>+H79+H82</f>
        <v>435.41057000000012</v>
      </c>
      <c r="I83" s="35">
        <f>+I82+I79</f>
        <v>270.4470000000004</v>
      </c>
      <c r="N83" s="35">
        <f t="shared" si="54"/>
        <v>4400.0391002029146</v>
      </c>
      <c r="O83" s="35">
        <f t="shared" si="54"/>
        <v>1408.1387083212062</v>
      </c>
      <c r="P83" s="35">
        <f t="shared" si="54"/>
        <v>848.14187599962486</v>
      </c>
    </row>
    <row r="84" spans="2:16" ht="15.75" thickTop="1" x14ac:dyDescent="0.25">
      <c r="B84" s="25" t="s">
        <v>126</v>
      </c>
      <c r="C84" s="25" t="s">
        <v>158</v>
      </c>
      <c r="G84" s="26">
        <v>1275.6144925645845</v>
      </c>
      <c r="H84" s="26">
        <v>432.98184800000001</v>
      </c>
      <c r="I84" s="26">
        <v>251.58600000000001</v>
      </c>
      <c r="N84" s="26">
        <f t="shared" si="54"/>
        <v>4095.5965214299895</v>
      </c>
      <c r="O84" s="26">
        <f t="shared" si="54"/>
        <v>1400.2841046537953</v>
      </c>
      <c r="P84" s="26">
        <f t="shared" si="54"/>
        <v>788.99237933954282</v>
      </c>
    </row>
    <row r="85" spans="2:16" ht="15.75" thickBot="1" x14ac:dyDescent="0.3">
      <c r="B85" s="25" t="s">
        <v>159</v>
      </c>
      <c r="C85" s="32" t="s">
        <v>160</v>
      </c>
      <c r="G85" s="26">
        <v>94.821685584615366</v>
      </c>
      <c r="H85" s="26">
        <v>2.428722</v>
      </c>
      <c r="I85" s="26">
        <v>18.861000000000001</v>
      </c>
      <c r="N85" s="26">
        <f t="shared" si="54"/>
        <v>304.44257877292546</v>
      </c>
      <c r="O85" s="26">
        <f t="shared" si="54"/>
        <v>7.8546036674104984</v>
      </c>
      <c r="P85" s="26">
        <f t="shared" si="54"/>
        <v>59.149496660080906</v>
      </c>
    </row>
    <row r="86" spans="2:16" ht="16.5" thickTop="1" thickBot="1" x14ac:dyDescent="0.3">
      <c r="B86" s="34" t="s">
        <v>140</v>
      </c>
      <c r="C86" s="34" t="s">
        <v>140</v>
      </c>
      <c r="G86" s="35">
        <f>+G74-G73-G71</f>
        <v>2313.6696349999997</v>
      </c>
      <c r="H86" s="35">
        <f>+H74-H73-H71</f>
        <v>1934.9535209999999</v>
      </c>
      <c r="I86" s="35">
        <v>1800.567</v>
      </c>
      <c r="N86" s="35">
        <f t="shared" si="54"/>
        <v>7428.4647627303657</v>
      </c>
      <c r="O86" s="35">
        <f t="shared" si="54"/>
        <v>6257.7326768215771</v>
      </c>
      <c r="P86" s="35">
        <f t="shared" si="54"/>
        <v>5646.7118261360429</v>
      </c>
    </row>
    <row r="87" spans="2:16" ht="15.75" thickTop="1" x14ac:dyDescent="0.25">
      <c r="B87" s="36"/>
      <c r="C87" s="36"/>
      <c r="D87" s="36"/>
      <c r="E87" s="36"/>
      <c r="F87" s="36"/>
      <c r="N87" s="36"/>
      <c r="O87" s="36"/>
    </row>
    <row r="88" spans="2:16" hidden="1" outlineLevel="1" x14ac:dyDescent="0.25">
      <c r="B88" s="39"/>
      <c r="C88" s="39"/>
      <c r="D88" s="38"/>
      <c r="E88" s="38"/>
      <c r="F88" s="38"/>
      <c r="N88" s="38"/>
      <c r="O88" s="38"/>
    </row>
    <row r="89" spans="2:16" hidden="1" outlineLevel="1" x14ac:dyDescent="0.25">
      <c r="B89" s="39"/>
      <c r="C89" s="39"/>
      <c r="D89" s="38"/>
      <c r="E89" s="38"/>
      <c r="F89" s="38"/>
      <c r="N89" s="38"/>
      <c r="O89" s="38"/>
    </row>
    <row r="90" spans="2:16" hidden="1" outlineLevel="1" x14ac:dyDescent="0.25">
      <c r="B90" s="36"/>
      <c r="C90" s="36"/>
      <c r="D90" s="36"/>
      <c r="E90" s="36"/>
      <c r="F90" s="36"/>
      <c r="N90" s="36"/>
      <c r="O90" s="36"/>
    </row>
    <row r="91" spans="2:16" collapsed="1" x14ac:dyDescent="0.25">
      <c r="B91" s="37"/>
      <c r="C91" s="37"/>
      <c r="D91" s="40"/>
      <c r="E91" s="40"/>
      <c r="F91" s="40"/>
      <c r="N91" s="40"/>
      <c r="O91" s="40"/>
    </row>
    <row r="92" spans="2:16" x14ac:dyDescent="0.25">
      <c r="B92" s="37"/>
      <c r="C92" s="37"/>
      <c r="D92" s="40"/>
      <c r="E92" s="40"/>
      <c r="F92" s="40"/>
      <c r="N92" s="40"/>
      <c r="O92" s="40"/>
    </row>
    <row r="93" spans="2:16" x14ac:dyDescent="0.25">
      <c r="B93" s="8"/>
      <c r="C93" s="8"/>
      <c r="D93" s="18"/>
      <c r="E93" s="18"/>
      <c r="F93" s="18"/>
      <c r="G93" s="18"/>
      <c r="H93" s="18"/>
    </row>
    <row r="94" spans="2:16" ht="15.75" x14ac:dyDescent="0.25">
      <c r="B94" s="46" t="s">
        <v>276</v>
      </c>
      <c r="C94" s="8"/>
      <c r="D94" s="18"/>
      <c r="E94" s="18"/>
      <c r="F94" s="18"/>
      <c r="G94" s="18"/>
      <c r="H94" s="18"/>
    </row>
    <row r="95" spans="2:16" x14ac:dyDescent="0.25">
      <c r="B95" s="8"/>
      <c r="C95" s="8"/>
      <c r="D95" s="18"/>
      <c r="E95" s="18"/>
      <c r="F95" s="18"/>
      <c r="G95" s="18"/>
      <c r="H95" s="18"/>
      <c r="J95">
        <f>D98*(1+J98)^5</f>
        <v>18685.766999999996</v>
      </c>
    </row>
    <row r="96" spans="2:16" x14ac:dyDescent="0.25">
      <c r="B96" s="2"/>
      <c r="C96" s="2" t="s">
        <v>97</v>
      </c>
      <c r="D96" s="3">
        <v>2013</v>
      </c>
      <c r="E96" s="3">
        <v>2014</v>
      </c>
      <c r="F96" s="3">
        <v>2015</v>
      </c>
      <c r="G96" s="3">
        <v>2016</v>
      </c>
      <c r="H96" s="3">
        <v>2017</v>
      </c>
      <c r="I96" s="3">
        <v>2018</v>
      </c>
      <c r="K96" s="3">
        <v>2013</v>
      </c>
      <c r="L96" s="3">
        <v>2014</v>
      </c>
      <c r="M96" s="3">
        <v>2015</v>
      </c>
      <c r="N96" s="3">
        <v>2016</v>
      </c>
    </row>
    <row r="97" spans="2:14" x14ac:dyDescent="0.25">
      <c r="B97" s="2"/>
      <c r="C97" s="4" t="s">
        <v>2</v>
      </c>
      <c r="D97" s="3" t="s">
        <v>3</v>
      </c>
      <c r="E97" s="3" t="s">
        <v>3</v>
      </c>
      <c r="F97" s="3" t="s">
        <v>3</v>
      </c>
      <c r="G97" s="3" t="s">
        <v>3</v>
      </c>
      <c r="K97" s="3" t="s">
        <v>3</v>
      </c>
      <c r="L97" s="3" t="s">
        <v>3</v>
      </c>
      <c r="M97" s="3" t="s">
        <v>3</v>
      </c>
      <c r="N97" s="3" t="s">
        <v>3</v>
      </c>
    </row>
    <row r="98" spans="2:14" x14ac:dyDescent="0.25">
      <c r="B98" s="8" t="s">
        <v>98</v>
      </c>
      <c r="C98" s="8" t="s">
        <v>99</v>
      </c>
      <c r="D98" s="9">
        <v>6172.3940000000002</v>
      </c>
      <c r="E98" s="9">
        <v>5860.0439999999999</v>
      </c>
      <c r="F98" s="9">
        <v>10699.412</v>
      </c>
      <c r="G98" s="9">
        <v>13948.218999999999</v>
      </c>
      <c r="H98" s="30">
        <f>+H68</f>
        <v>18389.28427</v>
      </c>
      <c r="I98" s="30">
        <f>+I68</f>
        <v>18685.767</v>
      </c>
      <c r="J98" s="83">
        <f>(I98/D98)^0.2-1</f>
        <v>0.24799101248131739</v>
      </c>
      <c r="K98" s="9">
        <f>+D98/K$65*1000</f>
        <v>20788.070860837935</v>
      </c>
      <c r="L98" s="9">
        <f t="shared" ref="L98:N98" si="55">+E98/L$65*1000</f>
        <v>18985.433810665454</v>
      </c>
      <c r="M98" s="9">
        <f t="shared" si="55"/>
        <v>34525.369474023886</v>
      </c>
      <c r="N98" s="9">
        <f t="shared" si="55"/>
        <v>44783.339754703651</v>
      </c>
    </row>
    <row r="99" spans="2:14" x14ac:dyDescent="0.25">
      <c r="B99" s="8" t="s">
        <v>100</v>
      </c>
      <c r="C99" s="8" t="s">
        <v>101</v>
      </c>
      <c r="D99" s="9">
        <v>-5187.491</v>
      </c>
      <c r="E99" s="9">
        <v>-4889.9620000000004</v>
      </c>
      <c r="F99" s="9">
        <v>-8378.84</v>
      </c>
      <c r="G99" s="9">
        <v>-10881.753000000001</v>
      </c>
      <c r="K99" s="9">
        <f t="shared" ref="K99:K119" si="56">+D99/K$65*1000</f>
        <v>-17471.005658089718</v>
      </c>
      <c r="L99" s="9">
        <f t="shared" ref="L99:L119" si="57">+E99/L$65*1000</f>
        <v>-15842.55167498218</v>
      </c>
      <c r="M99" s="9">
        <f t="shared" ref="M99:M119" si="58">+F99/M$65*1000</f>
        <v>-27037.237818651181</v>
      </c>
      <c r="N99" s="9">
        <f t="shared" ref="N99:N119" si="59">+G99/N$65*1000</f>
        <v>-34937.882874205359</v>
      </c>
    </row>
    <row r="100" spans="2:14" x14ac:dyDescent="0.25">
      <c r="B100" s="6" t="s">
        <v>102</v>
      </c>
      <c r="C100" s="6" t="s">
        <v>103</v>
      </c>
      <c r="D100" s="13">
        <f>D98+D99</f>
        <v>984.90300000000025</v>
      </c>
      <c r="E100" s="13">
        <f>E98+E99</f>
        <v>970.08199999999943</v>
      </c>
      <c r="F100" s="13">
        <f>F98+F99</f>
        <v>2320.5720000000001</v>
      </c>
      <c r="G100" s="13">
        <f>G98+G99</f>
        <v>3066.4659999999985</v>
      </c>
      <c r="K100" s="13">
        <f t="shared" si="56"/>
        <v>3317.0652027482156</v>
      </c>
      <c r="L100" s="13">
        <f t="shared" si="57"/>
        <v>3142.8821356832741</v>
      </c>
      <c r="M100" s="13">
        <f t="shared" si="58"/>
        <v>7488.131655372702</v>
      </c>
      <c r="N100" s="13">
        <f t="shared" si="59"/>
        <v>9845.4568804982955</v>
      </c>
    </row>
    <row r="101" spans="2:14" x14ac:dyDescent="0.25">
      <c r="B101" s="8" t="s">
        <v>104</v>
      </c>
      <c r="C101" s="8" t="s">
        <v>105</v>
      </c>
      <c r="D101" s="9">
        <v>-473.03800000000001</v>
      </c>
      <c r="E101" s="9">
        <v>-544.62900000000002</v>
      </c>
      <c r="F101" s="9">
        <v>-1384.998</v>
      </c>
      <c r="G101" s="9">
        <v>-1267.9100000000001</v>
      </c>
      <c r="K101" s="9">
        <f t="shared" si="56"/>
        <v>-1593.1496699447662</v>
      </c>
      <c r="L101" s="9">
        <f t="shared" si="57"/>
        <v>-1764.4949134970518</v>
      </c>
      <c r="M101" s="9">
        <f t="shared" si="58"/>
        <v>-4469.1771539206202</v>
      </c>
      <c r="N101" s="9">
        <f t="shared" si="59"/>
        <v>-4070.8598214859057</v>
      </c>
    </row>
    <row r="102" spans="2:14" x14ac:dyDescent="0.25">
      <c r="B102" s="8" t="s">
        <v>106</v>
      </c>
      <c r="C102" s="8" t="s">
        <v>107</v>
      </c>
      <c r="D102" s="9">
        <v>-13.48</v>
      </c>
      <c r="E102" s="9">
        <v>-12.75</v>
      </c>
      <c r="F102" s="9">
        <v>-26.515000000000001</v>
      </c>
      <c r="G102" s="9">
        <v>-17.306000000000001</v>
      </c>
      <c r="K102" s="9">
        <f t="shared" si="56"/>
        <v>-45.399434191027886</v>
      </c>
      <c r="L102" s="9">
        <f t="shared" si="57"/>
        <v>-41.307587636882005</v>
      </c>
      <c r="M102" s="9">
        <f t="shared" si="58"/>
        <v>-85.55985801871573</v>
      </c>
      <c r="N102" s="9">
        <f t="shared" si="59"/>
        <v>-55.564117382649464</v>
      </c>
    </row>
    <row r="103" spans="2:14" x14ac:dyDescent="0.25">
      <c r="B103" s="8" t="s">
        <v>108</v>
      </c>
      <c r="C103" s="8" t="s">
        <v>109</v>
      </c>
      <c r="D103" s="9">
        <v>-102.943</v>
      </c>
      <c r="E103" s="9">
        <v>-97.417000000000002</v>
      </c>
      <c r="F103" s="9">
        <v>-430.666</v>
      </c>
      <c r="G103" s="9">
        <v>-297.86399999999998</v>
      </c>
      <c r="K103" s="9">
        <f t="shared" si="56"/>
        <v>-346.70281557321834</v>
      </c>
      <c r="L103" s="9">
        <f t="shared" si="57"/>
        <v>-315.61264822134382</v>
      </c>
      <c r="M103" s="9">
        <f t="shared" si="58"/>
        <v>-1389.6934494998388</v>
      </c>
      <c r="N103" s="9">
        <f t="shared" si="59"/>
        <v>-956.34752456174147</v>
      </c>
    </row>
    <row r="104" spans="2:14" x14ac:dyDescent="0.25">
      <c r="B104" s="6" t="s">
        <v>110</v>
      </c>
      <c r="C104" s="6" t="s">
        <v>111</v>
      </c>
      <c r="D104" s="13">
        <f t="shared" ref="D104:F104" si="60">SUM(D100:D103)</f>
        <v>395.44200000000023</v>
      </c>
      <c r="E104" s="13">
        <f t="shared" si="60"/>
        <v>315.28599999999938</v>
      </c>
      <c r="F104" s="13">
        <f t="shared" si="60"/>
        <v>478.39300000000009</v>
      </c>
      <c r="G104" s="13">
        <f t="shared" ref="G104" si="61">SUM(G100:G103)</f>
        <v>1483.3859999999984</v>
      </c>
      <c r="K104" s="13">
        <f t="shared" si="56"/>
        <v>1331.813283039203</v>
      </c>
      <c r="L104" s="13">
        <f t="shared" si="57"/>
        <v>1021.4669863279963</v>
      </c>
      <c r="M104" s="13">
        <f t="shared" si="58"/>
        <v>1543.7011939335273</v>
      </c>
      <c r="N104" s="13">
        <f t="shared" si="59"/>
        <v>4762.6854170679972</v>
      </c>
    </row>
    <row r="105" spans="2:14" x14ac:dyDescent="0.25">
      <c r="B105" s="19" t="s">
        <v>112</v>
      </c>
      <c r="C105" s="19" t="s">
        <v>113</v>
      </c>
      <c r="D105" s="9">
        <v>35.944000000000003</v>
      </c>
      <c r="E105" s="9">
        <v>32</v>
      </c>
      <c r="F105" s="9">
        <v>29.094000000000001</v>
      </c>
      <c r="G105" s="9">
        <v>7.6280000000000001</v>
      </c>
      <c r="K105" s="9">
        <f t="shared" si="56"/>
        <v>121.05617674794559</v>
      </c>
      <c r="L105" s="9">
        <f t="shared" si="57"/>
        <v>103.6739454415862</v>
      </c>
      <c r="M105" s="9">
        <f t="shared" si="58"/>
        <v>93.881897386253641</v>
      </c>
      <c r="N105" s="9">
        <f t="shared" si="59"/>
        <v>24.491106402106212</v>
      </c>
    </row>
    <row r="106" spans="2:14" x14ac:dyDescent="0.25">
      <c r="B106" s="19" t="s">
        <v>114</v>
      </c>
      <c r="C106" s="19" t="s">
        <v>115</v>
      </c>
      <c r="D106" s="9">
        <f>(-398410-54397-8331)/1000</f>
        <v>-461.13799999999998</v>
      </c>
      <c r="E106" s="9">
        <v>-635.87300000000005</v>
      </c>
      <c r="F106" s="9">
        <v>-663.79399999999998</v>
      </c>
      <c r="G106" s="9">
        <v>-463.35300000000001</v>
      </c>
      <c r="K106" s="9">
        <f t="shared" si="56"/>
        <v>-1553.0715344200457</v>
      </c>
      <c r="L106" s="9">
        <f t="shared" si="57"/>
        <v>-2060.1082096805549</v>
      </c>
      <c r="M106" s="9">
        <f t="shared" si="58"/>
        <v>-2141.9619232010327</v>
      </c>
      <c r="N106" s="9">
        <f t="shared" si="59"/>
        <v>-1487.6806010402622</v>
      </c>
    </row>
    <row r="107" spans="2:14" x14ac:dyDescent="0.25">
      <c r="B107" s="8" t="s">
        <v>116</v>
      </c>
      <c r="C107" s="8" t="s">
        <v>117</v>
      </c>
      <c r="D107" s="9">
        <f t="shared" ref="D107:E107" si="62">+D105+D106</f>
        <v>-425.19399999999996</v>
      </c>
      <c r="E107" s="9">
        <f t="shared" si="62"/>
        <v>-603.87300000000005</v>
      </c>
      <c r="F107" s="9">
        <f>+F105+F106</f>
        <v>-634.69999999999993</v>
      </c>
      <c r="G107" s="9">
        <f t="shared" ref="G107" si="63">+G105+G106</f>
        <v>-455.72500000000002</v>
      </c>
      <c r="K107" s="9">
        <f t="shared" si="56"/>
        <v>-1432.0153576721</v>
      </c>
      <c r="L107" s="9">
        <f t="shared" si="57"/>
        <v>-1956.4342642389686</v>
      </c>
      <c r="M107" s="9">
        <f t="shared" si="58"/>
        <v>-2048.0800258147788</v>
      </c>
      <c r="N107" s="9">
        <f t="shared" si="59"/>
        <v>-1463.1894946381558</v>
      </c>
    </row>
    <row r="108" spans="2:14" x14ac:dyDescent="0.25">
      <c r="B108" s="8" t="s">
        <v>118</v>
      </c>
      <c r="C108" s="8" t="s">
        <v>119</v>
      </c>
      <c r="D108" s="9">
        <v>0</v>
      </c>
      <c r="E108" s="9">
        <v>0</v>
      </c>
      <c r="F108" s="9">
        <v>1464.2719999999999</v>
      </c>
      <c r="G108" s="9">
        <v>0</v>
      </c>
      <c r="K108" s="9">
        <f t="shared" si="56"/>
        <v>0</v>
      </c>
      <c r="L108" s="9">
        <f t="shared" si="57"/>
        <v>0</v>
      </c>
      <c r="M108" s="9">
        <f t="shared" si="58"/>
        <v>4724.982252339465</v>
      </c>
      <c r="N108" s="9">
        <f t="shared" si="59"/>
        <v>0</v>
      </c>
    </row>
    <row r="109" spans="2:14" x14ac:dyDescent="0.25">
      <c r="B109" s="6" t="s">
        <v>120</v>
      </c>
      <c r="C109" s="6" t="s">
        <v>121</v>
      </c>
      <c r="D109" s="13">
        <f>D104+D107+D108</f>
        <v>-29.751999999999725</v>
      </c>
      <c r="E109" s="13">
        <f>E104+E107+E108</f>
        <v>-288.58700000000067</v>
      </c>
      <c r="F109" s="13">
        <f>F104+F107+F108</f>
        <v>1307.9650000000001</v>
      </c>
      <c r="G109" s="13">
        <f>G104+G107+G108</f>
        <v>1027.6609999999982</v>
      </c>
      <c r="K109" s="13">
        <f t="shared" si="56"/>
        <v>-100.20207463289682</v>
      </c>
      <c r="L109" s="13">
        <f t="shared" si="57"/>
        <v>-934.96727791097214</v>
      </c>
      <c r="M109" s="13">
        <f t="shared" si="58"/>
        <v>4220.6034204582129</v>
      </c>
      <c r="N109" s="13">
        <f t="shared" si="59"/>
        <v>3299.4959224298414</v>
      </c>
    </row>
    <row r="110" spans="2:14" x14ac:dyDescent="0.25">
      <c r="B110" s="8" t="s">
        <v>122</v>
      </c>
      <c r="C110" s="8" t="s">
        <v>123</v>
      </c>
      <c r="D110" s="9">
        <v>-27.709</v>
      </c>
      <c r="E110" s="9">
        <v>-57.326000000000001</v>
      </c>
      <c r="F110" s="9">
        <v>-142.19</v>
      </c>
      <c r="G110" s="9">
        <v>-204.73500000000001</v>
      </c>
      <c r="K110" s="9">
        <f t="shared" si="56"/>
        <v>-93.321433382729339</v>
      </c>
      <c r="L110" s="9">
        <f t="shared" si="57"/>
        <v>-185.72539363701159</v>
      </c>
      <c r="M110" s="9">
        <f t="shared" si="58"/>
        <v>-458.82542755727656</v>
      </c>
      <c r="N110" s="9">
        <f t="shared" si="59"/>
        <v>-657.33962627624737</v>
      </c>
    </row>
    <row r="111" spans="2:14" x14ac:dyDescent="0.25">
      <c r="B111" s="6" t="s">
        <v>124</v>
      </c>
      <c r="C111" s="6" t="s">
        <v>125</v>
      </c>
      <c r="D111" s="13">
        <f t="shared" ref="D111:G111" si="64">D109+D110</f>
        <v>-57.460999999999729</v>
      </c>
      <c r="E111" s="13">
        <f t="shared" si="64"/>
        <v>-345.91300000000069</v>
      </c>
      <c r="F111" s="13">
        <f t="shared" si="64"/>
        <v>1165.7750000000001</v>
      </c>
      <c r="G111" s="13">
        <f t="shared" si="64"/>
        <v>822.92599999999823</v>
      </c>
      <c r="K111" s="13">
        <f t="shared" si="56"/>
        <v>-193.52350801562619</v>
      </c>
      <c r="L111" s="13">
        <f t="shared" si="57"/>
        <v>-1120.6926715479838</v>
      </c>
      <c r="M111" s="13">
        <f t="shared" si="58"/>
        <v>3761.7779929009366</v>
      </c>
      <c r="N111" s="13">
        <f t="shared" si="59"/>
        <v>2642.1562961535938</v>
      </c>
    </row>
    <row r="112" spans="2:14" x14ac:dyDescent="0.25">
      <c r="B112" s="19" t="s">
        <v>126</v>
      </c>
      <c r="C112" s="19" t="s">
        <v>127</v>
      </c>
      <c r="D112" s="9">
        <v>-57.460999999999999</v>
      </c>
      <c r="E112" s="9">
        <v>-345.91300000000001</v>
      </c>
      <c r="F112" s="9">
        <v>1087.403</v>
      </c>
      <c r="G112" s="9">
        <v>728.10400000000004</v>
      </c>
      <c r="K112" s="9">
        <f t="shared" si="56"/>
        <v>-193.5235080156271</v>
      </c>
      <c r="L112" s="9">
        <f t="shared" si="57"/>
        <v>-1120.6926715479815</v>
      </c>
      <c r="M112" s="9">
        <f t="shared" si="58"/>
        <v>3508.8835108099393</v>
      </c>
      <c r="N112" s="9">
        <f t="shared" si="59"/>
        <v>2337.7127078918643</v>
      </c>
    </row>
    <row r="113" spans="2:14" x14ac:dyDescent="0.25">
      <c r="B113" s="19" t="s">
        <v>128</v>
      </c>
      <c r="C113" s="19" t="s">
        <v>129</v>
      </c>
      <c r="D113" s="9">
        <v>0</v>
      </c>
      <c r="E113" s="9">
        <v>0</v>
      </c>
      <c r="F113" s="9">
        <v>78.372</v>
      </c>
      <c r="G113" s="9">
        <v>94.822000000000003</v>
      </c>
      <c r="K113" s="9">
        <f t="shared" si="56"/>
        <v>0</v>
      </c>
      <c r="L113" s="9">
        <f t="shared" si="57"/>
        <v>0</v>
      </c>
      <c r="M113" s="9">
        <f t="shared" si="58"/>
        <v>252.89448209099714</v>
      </c>
      <c r="N113" s="9">
        <f t="shared" si="59"/>
        <v>304.44358826173504</v>
      </c>
    </row>
    <row r="114" spans="2:14" x14ac:dyDescent="0.25">
      <c r="B114" s="6" t="s">
        <v>130</v>
      </c>
      <c r="C114" s="6" t="s">
        <v>131</v>
      </c>
      <c r="D114" s="13">
        <v>0</v>
      </c>
      <c r="E114" s="13">
        <v>0</v>
      </c>
      <c r="F114" s="13">
        <v>-107.176</v>
      </c>
      <c r="G114" s="13">
        <v>547.51099999999997</v>
      </c>
      <c r="K114" s="13">
        <f t="shared" si="56"/>
        <v>0</v>
      </c>
      <c r="L114" s="13">
        <f t="shared" si="57"/>
        <v>0</v>
      </c>
      <c r="M114" s="13">
        <f t="shared" si="58"/>
        <v>-345.84059373991613</v>
      </c>
      <c r="N114" s="13">
        <f t="shared" si="59"/>
        <v>1757.8854427534836</v>
      </c>
    </row>
    <row r="115" spans="2:14" x14ac:dyDescent="0.25">
      <c r="B115" s="19" t="s">
        <v>126</v>
      </c>
      <c r="C115" s="19" t="s">
        <v>127</v>
      </c>
      <c r="D115" s="9"/>
      <c r="E115" s="9"/>
      <c r="F115" s="9"/>
      <c r="G115" s="9"/>
      <c r="K115" s="9">
        <f t="shared" si="56"/>
        <v>0</v>
      </c>
      <c r="L115" s="9">
        <f t="shared" si="57"/>
        <v>0</v>
      </c>
      <c r="M115" s="9">
        <f t="shared" si="58"/>
        <v>0</v>
      </c>
      <c r="N115" s="9">
        <f t="shared" si="59"/>
        <v>0</v>
      </c>
    </row>
    <row r="116" spans="2:14" x14ac:dyDescent="0.25">
      <c r="B116" s="19" t="s">
        <v>132</v>
      </c>
      <c r="C116" s="19" t="s">
        <v>129</v>
      </c>
      <c r="D116" s="9"/>
      <c r="E116" s="9"/>
      <c r="F116" s="9"/>
      <c r="G116" s="9"/>
      <c r="K116" s="9">
        <f t="shared" si="56"/>
        <v>0</v>
      </c>
      <c r="L116" s="9">
        <f t="shared" si="57"/>
        <v>0</v>
      </c>
      <c r="M116" s="9">
        <f t="shared" si="58"/>
        <v>0</v>
      </c>
      <c r="N116" s="9">
        <f t="shared" si="59"/>
        <v>0</v>
      </c>
    </row>
    <row r="117" spans="2:14" x14ac:dyDescent="0.25">
      <c r="B117" s="6" t="s">
        <v>133</v>
      </c>
      <c r="C117" s="6" t="s">
        <v>134</v>
      </c>
      <c r="D117" s="13">
        <f>+D111+D114</f>
        <v>-57.460999999999729</v>
      </c>
      <c r="E117" s="13">
        <f t="shared" ref="E117:G117" si="65">+E111+E114</f>
        <v>-345.91300000000069</v>
      </c>
      <c r="F117" s="13">
        <f t="shared" si="65"/>
        <v>1058.5990000000002</v>
      </c>
      <c r="G117" s="13">
        <f t="shared" si="65"/>
        <v>1370.4369999999981</v>
      </c>
      <c r="K117" s="13">
        <f t="shared" si="56"/>
        <v>-193.52350801562619</v>
      </c>
      <c r="L117" s="13">
        <f t="shared" si="57"/>
        <v>-1120.6926715479838</v>
      </c>
      <c r="M117" s="13">
        <f t="shared" si="58"/>
        <v>3415.93739916102</v>
      </c>
      <c r="N117" s="13">
        <f t="shared" si="59"/>
        <v>4400.0417389070772</v>
      </c>
    </row>
    <row r="118" spans="2:14" x14ac:dyDescent="0.25">
      <c r="B118" s="19" t="s">
        <v>126</v>
      </c>
      <c r="C118" s="19" t="s">
        <v>127</v>
      </c>
      <c r="D118" s="9">
        <v>-57.461000000000183</v>
      </c>
      <c r="E118" s="9">
        <v>-345.91300000000001</v>
      </c>
      <c r="F118" s="9">
        <v>996.80899999999974</v>
      </c>
      <c r="G118" s="9">
        <v>1275.615</v>
      </c>
      <c r="K118" s="9">
        <f t="shared" si="56"/>
        <v>-193.5235080156277</v>
      </c>
      <c r="L118" s="9">
        <f t="shared" si="57"/>
        <v>-1120.6926715479815</v>
      </c>
      <c r="M118" s="9">
        <f t="shared" si="58"/>
        <v>3216.5505001613419</v>
      </c>
      <c r="N118" s="9">
        <f t="shared" si="59"/>
        <v>4095.5981506453477</v>
      </c>
    </row>
    <row r="119" spans="2:14" x14ac:dyDescent="0.25">
      <c r="B119" s="19" t="s">
        <v>135</v>
      </c>
      <c r="C119" s="19" t="s">
        <v>129</v>
      </c>
      <c r="D119" s="9">
        <v>0</v>
      </c>
      <c r="E119" s="9">
        <v>0</v>
      </c>
      <c r="F119" s="9">
        <v>61.79</v>
      </c>
      <c r="G119" s="9">
        <v>94.822000000000003</v>
      </c>
      <c r="K119" s="9">
        <f t="shared" si="56"/>
        <v>0</v>
      </c>
      <c r="L119" s="9">
        <f t="shared" si="57"/>
        <v>0</v>
      </c>
      <c r="M119" s="9">
        <f t="shared" si="58"/>
        <v>199.38689899967733</v>
      </c>
      <c r="N119" s="9">
        <f t="shared" si="59"/>
        <v>304.44358826173504</v>
      </c>
    </row>
    <row r="120" spans="2:14" x14ac:dyDescent="0.25">
      <c r="B120" s="20"/>
      <c r="C120" s="20"/>
      <c r="D120" s="41"/>
      <c r="E120" s="41"/>
      <c r="F120" s="41"/>
      <c r="G120" s="41"/>
      <c r="K120" s="41"/>
      <c r="L120" s="41"/>
      <c r="M120" s="41"/>
      <c r="N120" s="41"/>
    </row>
    <row r="121" spans="2:14" hidden="1" x14ac:dyDescent="0.25">
      <c r="B121" s="15" t="s">
        <v>136</v>
      </c>
      <c r="C121" s="15" t="s">
        <v>137</v>
      </c>
      <c r="D121" s="42">
        <v>-34.47</v>
      </c>
      <c r="E121" s="42">
        <v>-206.27</v>
      </c>
      <c r="F121" s="42">
        <v>597.70000000000005</v>
      </c>
      <c r="G121" s="42">
        <v>751.61</v>
      </c>
      <c r="K121" s="42">
        <f>+D121/K$65</f>
        <v>-0.1160918765997575</v>
      </c>
      <c r="L121" s="42">
        <f t="shared" ref="L121:N122" si="66">+E121/L$65</f>
        <v>-0.66827577269487459</v>
      </c>
      <c r="M121" s="42">
        <f t="shared" si="66"/>
        <v>1.9286866731203618</v>
      </c>
      <c r="N121" s="42">
        <f t="shared" si="66"/>
        <v>2.4131830732678354</v>
      </c>
    </row>
    <row r="122" spans="2:14" hidden="1" x14ac:dyDescent="0.25">
      <c r="B122" s="5" t="s">
        <v>138</v>
      </c>
      <c r="C122" s="5" t="s">
        <v>139</v>
      </c>
      <c r="D122" s="43">
        <v>-34.47</v>
      </c>
      <c r="E122" s="43">
        <v>-206.27</v>
      </c>
      <c r="F122" s="43">
        <v>597.70000000000005</v>
      </c>
      <c r="G122" s="43">
        <v>749.87</v>
      </c>
      <c r="K122" s="43">
        <f>+D122/K$65</f>
        <v>-0.1160918765997575</v>
      </c>
      <c r="L122" s="43">
        <f t="shared" si="66"/>
        <v>-0.66827577269487459</v>
      </c>
      <c r="M122" s="43">
        <f t="shared" si="66"/>
        <v>1.9286866731203618</v>
      </c>
      <c r="N122" s="43">
        <f t="shared" si="66"/>
        <v>2.4075964810890644</v>
      </c>
    </row>
    <row r="123" spans="2:14" x14ac:dyDescent="0.25">
      <c r="B123" s="5" t="s">
        <v>140</v>
      </c>
      <c r="C123" s="5" t="s">
        <v>140</v>
      </c>
      <c r="D123" s="13">
        <v>815.60400000000004</v>
      </c>
      <c r="E123" s="13">
        <v>749.34699999999998</v>
      </c>
      <c r="F123" s="13">
        <v>1428.8420000000001</v>
      </c>
      <c r="G123" s="13">
        <v>2313.67</v>
      </c>
      <c r="H123" s="30">
        <f>+H86</f>
        <v>1934.9535209999999</v>
      </c>
      <c r="I123" s="30">
        <f>+I86</f>
        <v>1800.567</v>
      </c>
      <c r="J123" s="83">
        <f>(I123/D123)^0.2-1</f>
        <v>0.17161787204415391</v>
      </c>
      <c r="K123" s="13">
        <f t="shared" ref="K123" si="67">+D123/K$65*1000</f>
        <v>2746.8813148322783</v>
      </c>
      <c r="L123" s="13">
        <f t="shared" ref="L123" si="68">+E123/L$65*1000</f>
        <v>2427.7424998380088</v>
      </c>
      <c r="M123" s="13">
        <f t="shared" ref="M123" si="69">+F123/M$65*1000</f>
        <v>4610.6550500161347</v>
      </c>
      <c r="N123" s="13">
        <f t="shared" ref="N123" si="70">+G123/N$65*1000</f>
        <v>7428.4659346304506</v>
      </c>
    </row>
    <row r="126" spans="2:14" ht="15.75" x14ac:dyDescent="0.25">
      <c r="B126" s="46" t="s">
        <v>183</v>
      </c>
      <c r="E126">
        <v>1000</v>
      </c>
    </row>
    <row r="128" spans="2:14" ht="15.75" thickBot="1" x14ac:dyDescent="0.3">
      <c r="B128" s="8"/>
      <c r="C128" s="8"/>
      <c r="D128" s="47"/>
      <c r="E128" s="47"/>
      <c r="F128" s="47"/>
      <c r="G128" s="47"/>
      <c r="H128" s="47"/>
    </row>
    <row r="129" spans="2:16" x14ac:dyDescent="0.25">
      <c r="B129" s="48"/>
      <c r="C129" s="49" t="s">
        <v>184</v>
      </c>
      <c r="D129" s="50">
        <v>2013</v>
      </c>
      <c r="E129" s="50">
        <v>2014</v>
      </c>
      <c r="F129" s="50">
        <v>2015</v>
      </c>
      <c r="G129" s="50">
        <v>2016</v>
      </c>
      <c r="H129" s="50">
        <v>2017</v>
      </c>
      <c r="I129" s="50">
        <v>2018</v>
      </c>
      <c r="K129" s="50">
        <v>2013</v>
      </c>
      <c r="L129" s="50">
        <v>2014</v>
      </c>
      <c r="M129" s="50">
        <v>2015</v>
      </c>
      <c r="N129" s="50">
        <v>2016</v>
      </c>
      <c r="O129" s="50">
        <v>2017</v>
      </c>
      <c r="P129" s="50">
        <v>2018</v>
      </c>
    </row>
    <row r="130" spans="2:16" x14ac:dyDescent="0.25">
      <c r="B130" s="51"/>
      <c r="C130" s="4" t="s">
        <v>2</v>
      </c>
      <c r="D130" s="3" t="s">
        <v>3</v>
      </c>
      <c r="E130" s="3" t="s">
        <v>3</v>
      </c>
      <c r="F130" s="3" t="s">
        <v>3</v>
      </c>
      <c r="G130" s="3" t="s">
        <v>3</v>
      </c>
      <c r="H130" s="3" t="s">
        <v>3</v>
      </c>
      <c r="I130" s="3" t="s">
        <v>3</v>
      </c>
      <c r="K130" s="3" t="s">
        <v>3</v>
      </c>
      <c r="L130" s="3" t="s">
        <v>3</v>
      </c>
      <c r="M130" s="3" t="s">
        <v>3</v>
      </c>
      <c r="N130" s="3" t="s">
        <v>3</v>
      </c>
      <c r="O130" s="3" t="s">
        <v>3</v>
      </c>
      <c r="P130" s="3" t="s">
        <v>3</v>
      </c>
    </row>
    <row r="131" spans="2:16" x14ac:dyDescent="0.25">
      <c r="B131" s="52" t="s">
        <v>120</v>
      </c>
      <c r="C131" s="8" t="s">
        <v>121</v>
      </c>
      <c r="D131" s="9">
        <v>-29.751999999999999</v>
      </c>
      <c r="E131" s="9">
        <v>-288.58699999999999</v>
      </c>
      <c r="F131" s="9">
        <v>1307.9649999999999</v>
      </c>
      <c r="G131" s="9">
        <v>1027.6600000000001</v>
      </c>
      <c r="H131" s="9">
        <v>1032.83</v>
      </c>
      <c r="I131" s="9">
        <v>1032.83</v>
      </c>
      <c r="K131" s="9">
        <f>IFERROR(D131/K$65*1000,0)</f>
        <v>-100.20207463289773</v>
      </c>
      <c r="L131" s="9">
        <f t="shared" ref="L131:P131" si="71">IFERROR(E131/L$65*1000,0)</f>
        <v>-934.96727791096987</v>
      </c>
      <c r="M131" s="9">
        <f t="shared" si="71"/>
        <v>4220.6034204582129</v>
      </c>
      <c r="N131" s="9">
        <f t="shared" si="71"/>
        <v>3299.4927117446864</v>
      </c>
      <c r="O131" s="9">
        <f t="shared" si="71"/>
        <v>3340.2218556967759</v>
      </c>
      <c r="P131" s="9">
        <f t="shared" si="71"/>
        <v>3239.0315802678206</v>
      </c>
    </row>
    <row r="132" spans="2:16" x14ac:dyDescent="0.25">
      <c r="B132" s="52" t="s">
        <v>185</v>
      </c>
      <c r="C132" s="8" t="s">
        <v>186</v>
      </c>
      <c r="D132" s="9">
        <v>362.46600000000001</v>
      </c>
      <c r="E132" s="9">
        <v>423.58600000000001</v>
      </c>
      <c r="F132" s="9">
        <v>372.15899999999999</v>
      </c>
      <c r="G132" s="9">
        <v>324.92700000000002</v>
      </c>
      <c r="H132" s="9">
        <v>322.21600000000001</v>
      </c>
      <c r="I132" s="9">
        <v>322.21600000000001</v>
      </c>
      <c r="K132" s="9">
        <f t="shared" ref="K132:K141" si="72">IFERROR(D132/K$65*1000,0)</f>
        <v>1220.7530647985989</v>
      </c>
      <c r="L132" s="9">
        <f t="shared" ref="L132:L141" si="73">IFERROR(E132/L$65*1000,0)</f>
        <v>1372.3384954318667</v>
      </c>
      <c r="M132" s="9">
        <f t="shared" ref="M132:M141" si="74">IFERROR(F132/M$65*1000,0)</f>
        <v>1200.9002904162633</v>
      </c>
      <c r="N132" s="9">
        <f t="shared" ref="N132:N141" si="75">IFERROR(G132/N$65*1000,0)</f>
        <v>1043.2382970525912</v>
      </c>
      <c r="O132" s="9">
        <f t="shared" ref="O132:P141" si="76">IFERROR(H132/O$65*1000,0)</f>
        <v>1042.0620290417517</v>
      </c>
      <c r="P132" s="9">
        <f t="shared" si="76"/>
        <v>1010.4933044814502</v>
      </c>
    </row>
    <row r="133" spans="2:16" x14ac:dyDescent="0.25">
      <c r="B133" s="53" t="s">
        <v>187</v>
      </c>
      <c r="C133" s="19" t="s">
        <v>188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K133" s="9">
        <f t="shared" si="72"/>
        <v>0</v>
      </c>
      <c r="L133" s="9">
        <f t="shared" si="73"/>
        <v>0</v>
      </c>
      <c r="M133" s="9">
        <f t="shared" si="74"/>
        <v>0</v>
      </c>
      <c r="N133" s="9">
        <f t="shared" si="75"/>
        <v>0</v>
      </c>
      <c r="O133" s="9">
        <f t="shared" si="76"/>
        <v>0</v>
      </c>
      <c r="P133" s="9">
        <f t="shared" si="76"/>
        <v>0</v>
      </c>
    </row>
    <row r="134" spans="2:16" x14ac:dyDescent="0.25">
      <c r="B134" s="52" t="s">
        <v>189</v>
      </c>
      <c r="C134" s="8" t="s">
        <v>190</v>
      </c>
      <c r="D134" s="9">
        <v>420.16199999999998</v>
      </c>
      <c r="E134" s="9">
        <v>404.05799999999999</v>
      </c>
      <c r="F134" s="9">
        <v>627.36599999999999</v>
      </c>
      <c r="G134" s="9">
        <v>601.33199999999999</v>
      </c>
      <c r="H134" s="9">
        <v>571.66499999999996</v>
      </c>
      <c r="I134" s="9">
        <v>571.66499999999996</v>
      </c>
      <c r="K134" s="9">
        <f t="shared" si="72"/>
        <v>1415.0680317930755</v>
      </c>
      <c r="L134" s="9">
        <f t="shared" si="73"/>
        <v>1309.0714702261387</v>
      </c>
      <c r="M134" s="9">
        <f t="shared" si="74"/>
        <v>2024.4143272023236</v>
      </c>
      <c r="N134" s="9">
        <f t="shared" si="75"/>
        <v>1930.6877287613179</v>
      </c>
      <c r="O134" s="9">
        <f t="shared" si="76"/>
        <v>1848.7920830503542</v>
      </c>
      <c r="P134" s="9">
        <f t="shared" si="76"/>
        <v>1792.783893122589</v>
      </c>
    </row>
    <row r="135" spans="2:16" x14ac:dyDescent="0.25">
      <c r="B135" s="52" t="s">
        <v>191</v>
      </c>
      <c r="C135" s="8" t="s">
        <v>192</v>
      </c>
      <c r="D135" s="9">
        <v>0</v>
      </c>
      <c r="E135" s="9">
        <v>0</v>
      </c>
      <c r="F135" s="9">
        <v>323.08199999999999</v>
      </c>
      <c r="G135" s="9">
        <v>228.953</v>
      </c>
      <c r="H135" s="9">
        <v>1.35</v>
      </c>
      <c r="I135" s="9">
        <v>1.35</v>
      </c>
      <c r="K135" s="9">
        <f t="shared" si="72"/>
        <v>0</v>
      </c>
      <c r="L135" s="9">
        <f t="shared" si="73"/>
        <v>0</v>
      </c>
      <c r="M135" s="9">
        <f t="shared" si="74"/>
        <v>1042.5363020329139</v>
      </c>
      <c r="N135" s="9">
        <f t="shared" si="75"/>
        <v>735.09599948629045</v>
      </c>
      <c r="O135" s="9">
        <f t="shared" si="76"/>
        <v>4.365964878238092</v>
      </c>
      <c r="P135" s="9">
        <f t="shared" si="76"/>
        <v>4.2337002540220148</v>
      </c>
    </row>
    <row r="136" spans="2:16" x14ac:dyDescent="0.25">
      <c r="B136" s="52" t="s">
        <v>193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-225.58699999999999</v>
      </c>
      <c r="K136" s="9">
        <f t="shared" si="72"/>
        <v>0</v>
      </c>
      <c r="L136" s="9">
        <f t="shared" si="73"/>
        <v>0</v>
      </c>
      <c r="M136" s="9">
        <f t="shared" si="74"/>
        <v>-286.9377218457567</v>
      </c>
      <c r="N136" s="9">
        <f t="shared" si="75"/>
        <v>-254.17389070827718</v>
      </c>
      <c r="O136" s="9">
        <f t="shared" si="76"/>
        <v>-729.5591992497009</v>
      </c>
      <c r="P136" s="9">
        <f t="shared" si="76"/>
        <v>-707.45758459560318</v>
      </c>
    </row>
    <row r="137" spans="2:16" x14ac:dyDescent="0.25">
      <c r="B137" s="52" t="s">
        <v>194</v>
      </c>
      <c r="C137" s="8" t="s">
        <v>195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 t="s">
        <v>12</v>
      </c>
      <c r="K137" s="9">
        <f t="shared" si="72"/>
        <v>12.134581705509902</v>
      </c>
      <c r="L137" s="9">
        <f t="shared" si="73"/>
        <v>11.475409836065571</v>
      </c>
      <c r="M137" s="9">
        <f t="shared" si="74"/>
        <v>29.01581155211359</v>
      </c>
      <c r="N137" s="9">
        <f t="shared" si="75"/>
        <v>29.689205676491365</v>
      </c>
      <c r="O137" s="9">
        <f t="shared" si="76"/>
        <v>0</v>
      </c>
      <c r="P137" s="9">
        <f t="shared" si="76"/>
        <v>0</v>
      </c>
    </row>
    <row r="138" spans="2:16" x14ac:dyDescent="0.25">
      <c r="B138" s="52" t="s">
        <v>196</v>
      </c>
      <c r="C138" s="8" t="s">
        <v>197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-140.096</v>
      </c>
      <c r="K138" s="9">
        <f t="shared" si="72"/>
        <v>-1.5795500471507475</v>
      </c>
      <c r="L138" s="9">
        <f t="shared" si="73"/>
        <v>-19.526339661763753</v>
      </c>
      <c r="M138" s="9">
        <f t="shared" si="74"/>
        <v>915.25976121329461</v>
      </c>
      <c r="N138" s="9">
        <f t="shared" si="75"/>
        <v>-218.59628844795481</v>
      </c>
      <c r="O138" s="9">
        <f t="shared" si="76"/>
        <v>-453.07719672714342</v>
      </c>
      <c r="P138" s="9">
        <f t="shared" si="76"/>
        <v>-439.35145984256906</v>
      </c>
    </row>
    <row r="139" spans="2:16" x14ac:dyDescent="0.25">
      <c r="B139" s="52" t="s">
        <v>198</v>
      </c>
      <c r="C139" s="10" t="s">
        <v>199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-472.89299999999997</v>
      </c>
      <c r="K139" s="9">
        <f t="shared" si="72"/>
        <v>249.02330594099419</v>
      </c>
      <c r="L139" s="9">
        <f t="shared" si="73"/>
        <v>398.10795049569106</v>
      </c>
      <c r="M139" s="9">
        <f t="shared" si="74"/>
        <v>-4.8854469183607625</v>
      </c>
      <c r="N139" s="9">
        <f t="shared" si="75"/>
        <v>-165.83830989533169</v>
      </c>
      <c r="O139" s="9">
        <f t="shared" si="76"/>
        <v>-1529.3586882701079</v>
      </c>
      <c r="P139" s="9">
        <f t="shared" si="76"/>
        <v>-1483.027566092765</v>
      </c>
    </row>
    <row r="140" spans="2:16" x14ac:dyDescent="0.25">
      <c r="B140" s="52" t="s">
        <v>200</v>
      </c>
      <c r="C140" s="8" t="s">
        <v>119</v>
      </c>
      <c r="D140" s="9">
        <v>0</v>
      </c>
      <c r="E140" s="9">
        <v>0</v>
      </c>
      <c r="F140" s="9">
        <v>-1464.2719999999999</v>
      </c>
      <c r="G140" s="9">
        <v>0</v>
      </c>
      <c r="H140" s="9">
        <v>0</v>
      </c>
      <c r="I140" s="9">
        <v>0</v>
      </c>
      <c r="K140" s="9">
        <f t="shared" si="72"/>
        <v>0</v>
      </c>
      <c r="L140" s="9">
        <f t="shared" si="73"/>
        <v>0</v>
      </c>
      <c r="M140" s="9">
        <f t="shared" si="74"/>
        <v>-4724.982252339465</v>
      </c>
      <c r="N140" s="9">
        <f t="shared" si="75"/>
        <v>0</v>
      </c>
      <c r="O140" s="9">
        <f t="shared" si="76"/>
        <v>0</v>
      </c>
      <c r="P140" s="9">
        <f t="shared" si="76"/>
        <v>0</v>
      </c>
    </row>
    <row r="141" spans="2:16" x14ac:dyDescent="0.25">
      <c r="B141" s="52" t="s">
        <v>201</v>
      </c>
      <c r="C141" s="8" t="s">
        <v>309</v>
      </c>
      <c r="D141" s="9">
        <v>0</v>
      </c>
      <c r="E141" s="9">
        <v>0</v>
      </c>
      <c r="F141" s="9">
        <v>0</v>
      </c>
      <c r="G141" s="9">
        <v>42.295999999999999</v>
      </c>
      <c r="H141" s="9">
        <v>41.444000000000003</v>
      </c>
      <c r="I141" s="9">
        <v>41.444000000000003</v>
      </c>
      <c r="K141" s="9">
        <f t="shared" si="72"/>
        <v>0</v>
      </c>
      <c r="L141" s="9">
        <f t="shared" si="73"/>
        <v>0</v>
      </c>
      <c r="M141" s="9">
        <f t="shared" si="74"/>
        <v>0</v>
      </c>
      <c r="N141" s="9">
        <f t="shared" si="75"/>
        <v>135.79913953637706</v>
      </c>
      <c r="O141" s="9">
        <f t="shared" si="76"/>
        <v>134.03188771385143</v>
      </c>
      <c r="P141" s="9">
        <f t="shared" si="76"/>
        <v>129.97146172421364</v>
      </c>
    </row>
    <row r="142" spans="2:16" x14ac:dyDescent="0.25">
      <c r="B142" s="54"/>
      <c r="C142" s="6"/>
      <c r="D142" s="13">
        <f t="shared" ref="D142:F142" si="77">SUM(D131:D141)</f>
        <v>829.94999999999982</v>
      </c>
      <c r="E142" s="13">
        <f t="shared" si="77"/>
        <v>659.452</v>
      </c>
      <c r="F142" s="13">
        <f t="shared" si="77"/>
        <v>1368.4949999999999</v>
      </c>
      <c r="G142" s="13">
        <f>SUM(G131:G141)</f>
        <v>2035.5139999999997</v>
      </c>
      <c r="H142" s="13">
        <f>SUM(H131:H141)</f>
        <v>1130.9289999999996</v>
      </c>
      <c r="I142" s="13">
        <f>SUM(I131:I141)</f>
        <v>1130.9289999999996</v>
      </c>
      <c r="K142" s="13">
        <f t="shared" ref="K142" si="78">SUM(K131:K141)</f>
        <v>2795.1973595581298</v>
      </c>
      <c r="L142" s="13">
        <f t="shared" ref="L142" si="79">SUM(L131:L141)</f>
        <v>2136.4997084170282</v>
      </c>
      <c r="M142" s="13">
        <f t="shared" ref="M142" si="80">SUM(M131:M141)</f>
        <v>4415.9244917715387</v>
      </c>
      <c r="N142" s="13">
        <f>SUM(N131:N141)</f>
        <v>6535.3945932061897</v>
      </c>
      <c r="O142" s="13">
        <f>SUM(O131:O141)</f>
        <v>3657.4787361340191</v>
      </c>
      <c r="P142" s="13">
        <f>SUM(P131:P141)</f>
        <v>3546.6773293191577</v>
      </c>
    </row>
    <row r="143" spans="2:16" x14ac:dyDescent="0.25">
      <c r="B143" s="53" t="s">
        <v>202</v>
      </c>
      <c r="C143" s="19" t="s">
        <v>203</v>
      </c>
      <c r="D143" s="55"/>
      <c r="E143" s="55"/>
      <c r="F143" s="55"/>
      <c r="G143" s="55"/>
      <c r="H143" s="55"/>
      <c r="I143" s="55"/>
      <c r="K143" s="55"/>
      <c r="L143" s="55"/>
      <c r="M143" s="55"/>
      <c r="N143" s="55"/>
      <c r="O143" s="55"/>
      <c r="P143" s="55"/>
    </row>
    <row r="144" spans="2:16" x14ac:dyDescent="0.25">
      <c r="B144" s="52" t="s">
        <v>204</v>
      </c>
      <c r="C144" s="8" t="s">
        <v>205</v>
      </c>
      <c r="D144" s="9">
        <v>-6.3520000000000003</v>
      </c>
      <c r="E144" s="9">
        <v>-1.615</v>
      </c>
      <c r="F144" s="9">
        <v>-15.679</v>
      </c>
      <c r="G144" s="9">
        <v>43.274999999999999</v>
      </c>
      <c r="H144" s="9">
        <v>-248.04900000000001</v>
      </c>
      <c r="I144" s="9">
        <v>-248.04900000000001</v>
      </c>
      <c r="K144" s="9">
        <f t="shared" ref="K144:K150" si="81">IFERROR(D144/K$65*1000,0)</f>
        <v>-21.392967802775157</v>
      </c>
      <c r="L144" s="9">
        <f t="shared" ref="L144:L150" si="82">IFERROR(E144/L$65*1000,0)</f>
        <v>-5.2322944340050537</v>
      </c>
      <c r="M144" s="9">
        <f t="shared" ref="M144:M150" si="83">IFERROR(F144/M$65*1000,0)</f>
        <v>-50.593739916101974</v>
      </c>
      <c r="N144" s="9">
        <f t="shared" ref="N144:N150" si="84">IFERROR(G144/N$65*1000,0)</f>
        <v>138.94240030822579</v>
      </c>
      <c r="O144" s="9">
        <f t="shared" ref="O144:P150" si="85">IFERROR(H144/O$65*1000,0)</f>
        <v>-802.20238672746677</v>
      </c>
      <c r="P144" s="9">
        <f t="shared" si="85"/>
        <v>-777.90008467400503</v>
      </c>
    </row>
    <row r="145" spans="2:16" x14ac:dyDescent="0.25">
      <c r="B145" s="52" t="s">
        <v>206</v>
      </c>
      <c r="C145" s="8" t="s">
        <v>207</v>
      </c>
      <c r="D145" s="9">
        <v>106.62</v>
      </c>
      <c r="E145" s="9">
        <v>-15.68</v>
      </c>
      <c r="F145" s="9">
        <v>-492.33699999999999</v>
      </c>
      <c r="G145" s="9">
        <v>-561.93299999999999</v>
      </c>
      <c r="H145" s="9">
        <v>-834.99400000000003</v>
      </c>
      <c r="I145" s="9">
        <v>-834.99400000000003</v>
      </c>
      <c r="K145" s="9">
        <f t="shared" si="81"/>
        <v>359.08662265930218</v>
      </c>
      <c r="L145" s="9">
        <f t="shared" si="82"/>
        <v>-50.800233266377241</v>
      </c>
      <c r="M145" s="9">
        <f t="shared" si="83"/>
        <v>-1588.6963536624719</v>
      </c>
      <c r="N145" s="9">
        <f t="shared" si="84"/>
        <v>-1804.1899441340784</v>
      </c>
      <c r="O145" s="9">
        <f t="shared" si="85"/>
        <v>-2700.4107241033607</v>
      </c>
      <c r="P145" s="9">
        <f t="shared" si="85"/>
        <v>-2618.6031925235989</v>
      </c>
    </row>
    <row r="146" spans="2:16" x14ac:dyDescent="0.25">
      <c r="B146" s="52" t="s">
        <v>208</v>
      </c>
      <c r="C146" s="8" t="s">
        <v>209</v>
      </c>
      <c r="D146" s="9">
        <v>157.88999999999999</v>
      </c>
      <c r="E146" s="9">
        <v>-122.932</v>
      </c>
      <c r="F146" s="9">
        <v>-100.039</v>
      </c>
      <c r="G146" s="9">
        <v>197.66200000000001</v>
      </c>
      <c r="H146" s="9">
        <v>676.21600000000001</v>
      </c>
      <c r="I146" s="9">
        <v>676.21600000000001</v>
      </c>
      <c r="K146" s="9">
        <f t="shared" si="81"/>
        <v>531.75939647042969</v>
      </c>
      <c r="L146" s="9">
        <f t="shared" si="82"/>
        <v>-398.27642065703361</v>
      </c>
      <c r="M146" s="9">
        <f t="shared" si="83"/>
        <v>-322.81058405937404</v>
      </c>
      <c r="N146" s="9">
        <f t="shared" si="84"/>
        <v>634.63045013805947</v>
      </c>
      <c r="O146" s="9">
        <f t="shared" si="85"/>
        <v>2186.9150415575177</v>
      </c>
      <c r="P146" s="9">
        <f t="shared" si="85"/>
        <v>2120.6635933138896</v>
      </c>
    </row>
    <row r="147" spans="2:16" x14ac:dyDescent="0.25">
      <c r="B147" s="52" t="s">
        <v>210</v>
      </c>
      <c r="C147" s="8" t="s">
        <v>211</v>
      </c>
      <c r="D147" s="9">
        <v>-228.40799999999999</v>
      </c>
      <c r="E147" s="9">
        <v>80.277000000000001</v>
      </c>
      <c r="F147" s="9">
        <v>540.96299999999997</v>
      </c>
      <c r="G147" s="9">
        <v>494.005</v>
      </c>
      <c r="H147" s="9">
        <v>-275.69400000000002</v>
      </c>
      <c r="I147" s="9">
        <v>-275.69400000000002</v>
      </c>
      <c r="K147" s="9">
        <f t="shared" si="81"/>
        <v>-769.2577125151555</v>
      </c>
      <c r="L147" s="9">
        <f t="shared" si="82"/>
        <v>260.08229119419423</v>
      </c>
      <c r="M147" s="9">
        <f t="shared" si="83"/>
        <v>1745.6050338818973</v>
      </c>
      <c r="N147" s="9">
        <f t="shared" si="84"/>
        <v>1586.0945225711166</v>
      </c>
      <c r="O147" s="9">
        <f t="shared" si="85"/>
        <v>-891.60764528960908</v>
      </c>
      <c r="P147" s="9">
        <f t="shared" si="85"/>
        <v>-864.59685765358927</v>
      </c>
    </row>
    <row r="148" spans="2:16" x14ac:dyDescent="0.25">
      <c r="B148" s="52" t="s">
        <v>212</v>
      </c>
      <c r="C148" s="8" t="s">
        <v>213</v>
      </c>
      <c r="D148" s="9">
        <v>0.4</v>
      </c>
      <c r="E148" s="9">
        <v>-0.4</v>
      </c>
      <c r="F148" s="9">
        <v>102.04600000000001</v>
      </c>
      <c r="G148" s="9">
        <v>-19.434999999999999</v>
      </c>
      <c r="H148" s="9">
        <v>264.399</v>
      </c>
      <c r="I148" s="9">
        <v>264.399</v>
      </c>
      <c r="K148" s="9">
        <f t="shared" si="81"/>
        <v>1.3471642193183349</v>
      </c>
      <c r="L148" s="9">
        <f t="shared" si="82"/>
        <v>-1.2959243180198277</v>
      </c>
      <c r="M148" s="9">
        <f t="shared" si="83"/>
        <v>329.28686673120365</v>
      </c>
      <c r="N148" s="9">
        <f t="shared" si="84"/>
        <v>-62.399666088743338</v>
      </c>
      <c r="O148" s="9">
        <f t="shared" si="85"/>
        <v>855.07907247501703</v>
      </c>
      <c r="P148" s="9">
        <f t="shared" si="85"/>
        <v>829.17489886160502</v>
      </c>
    </row>
    <row r="149" spans="2:16" x14ac:dyDescent="0.25">
      <c r="B149" s="52" t="s">
        <v>214</v>
      </c>
      <c r="C149" s="8" t="s">
        <v>215</v>
      </c>
      <c r="D149" s="9">
        <v>32.682000000000002</v>
      </c>
      <c r="E149" s="9">
        <v>82.085999999999999</v>
      </c>
      <c r="F149" s="9">
        <v>-371.80799999999999</v>
      </c>
      <c r="G149" s="9">
        <v>106.75</v>
      </c>
      <c r="H149" s="9">
        <v>532.851</v>
      </c>
      <c r="I149" s="9">
        <v>532.851</v>
      </c>
      <c r="K149" s="9">
        <f t="shared" si="81"/>
        <v>110.07005253940456</v>
      </c>
      <c r="L149" s="9">
        <f t="shared" si="82"/>
        <v>265.94310892243891</v>
      </c>
      <c r="M149" s="9">
        <f t="shared" si="83"/>
        <v>-1199.7676669893515</v>
      </c>
      <c r="N149" s="9">
        <f t="shared" si="84"/>
        <v>342.74064085275802</v>
      </c>
      <c r="O149" s="9">
        <f t="shared" si="85"/>
        <v>1723.2657417289222</v>
      </c>
      <c r="P149" s="9">
        <f t="shared" si="85"/>
        <v>1671.0603067080626</v>
      </c>
    </row>
    <row r="150" spans="2:16" x14ac:dyDescent="0.25">
      <c r="B150" s="53" t="s">
        <v>216</v>
      </c>
      <c r="C150" s="19" t="s">
        <v>203</v>
      </c>
      <c r="D150" s="9">
        <v>62.832000000000001</v>
      </c>
      <c r="E150" s="9">
        <v>21.736000000000001</v>
      </c>
      <c r="F150" s="9">
        <v>-336.85399999999998</v>
      </c>
      <c r="G150" s="9">
        <f>SUM(G144:G149)</f>
        <v>260.32400000000001</v>
      </c>
      <c r="H150" s="9">
        <f>SUM(H144:H149)</f>
        <v>114.72899999999981</v>
      </c>
      <c r="I150" s="9">
        <f>SUM(I144:I149)</f>
        <v>114.72899999999981</v>
      </c>
      <c r="K150" s="9">
        <f t="shared" si="81"/>
        <v>211.61255557052402</v>
      </c>
      <c r="L150" s="9">
        <f t="shared" si="82"/>
        <v>70.420527441197436</v>
      </c>
      <c r="M150" s="9">
        <f t="shared" si="83"/>
        <v>-1086.9764440141983</v>
      </c>
      <c r="N150" s="9">
        <f t="shared" si="84"/>
        <v>835.81840364733841</v>
      </c>
      <c r="O150" s="9">
        <f t="shared" si="85"/>
        <v>371.03909964102013</v>
      </c>
      <c r="P150" s="9">
        <f t="shared" si="85"/>
        <v>359.79866403236372</v>
      </c>
    </row>
    <row r="151" spans="2:16" x14ac:dyDescent="0.25">
      <c r="B151" s="56"/>
      <c r="C151" s="57"/>
      <c r="D151" s="58">
        <f t="shared" ref="D151:F151" si="86">+D150+D142</f>
        <v>892.78199999999981</v>
      </c>
      <c r="E151" s="58">
        <f t="shared" si="86"/>
        <v>681.18799999999999</v>
      </c>
      <c r="F151" s="58">
        <f t="shared" si="86"/>
        <v>1031.6409999999998</v>
      </c>
      <c r="G151" s="58">
        <f>+G150+G142</f>
        <v>2295.8379999999997</v>
      </c>
      <c r="H151" s="58">
        <f>+H150+H142</f>
        <v>1245.6579999999994</v>
      </c>
      <c r="I151" s="58">
        <f>+I150+I142</f>
        <v>1245.6579999999994</v>
      </c>
      <c r="K151" s="58">
        <f t="shared" ref="K151" si="87">+K150+K142</f>
        <v>3006.8099151286538</v>
      </c>
      <c r="L151" s="58">
        <f t="shared" ref="L151" si="88">+L150+L142</f>
        <v>2206.9202358582256</v>
      </c>
      <c r="M151" s="58">
        <f t="shared" ref="M151" si="89">+M150+M142</f>
        <v>3328.9480477573406</v>
      </c>
      <c r="N151" s="58">
        <f>+N150+N142</f>
        <v>7371.2129968535282</v>
      </c>
      <c r="O151" s="58">
        <f>+O150+O142</f>
        <v>4028.5178357750392</v>
      </c>
      <c r="P151" s="58">
        <f>+P150+P142</f>
        <v>3906.4759933515215</v>
      </c>
    </row>
    <row r="152" spans="2:16" x14ac:dyDescent="0.25">
      <c r="B152" s="52" t="s">
        <v>217</v>
      </c>
      <c r="C152" s="8" t="s">
        <v>218</v>
      </c>
      <c r="D152" s="9">
        <v>46.523000000000003</v>
      </c>
      <c r="E152" s="9">
        <v>19.047999999999998</v>
      </c>
      <c r="F152" s="9">
        <v>-21.923999999999999</v>
      </c>
      <c r="G152" s="9">
        <v>-38.972000000000001</v>
      </c>
      <c r="H152" s="9">
        <v>-50.362000000000002</v>
      </c>
      <c r="I152" s="9">
        <v>-50.362000000000002</v>
      </c>
      <c r="K152" s="9">
        <f t="shared" ref="K152:K153" si="90">IFERROR(D152/K$65*1000,0)</f>
        <v>156.68530243836722</v>
      </c>
      <c r="L152" s="9">
        <f t="shared" ref="L152:L153" si="91">IFERROR(E152/L$65*1000,0)</f>
        <v>61.711916024104184</v>
      </c>
      <c r="M152" s="9">
        <f t="shared" ref="M152:M153" si="92">IFERROR(F152/M$65*1000,0)</f>
        <v>-70.745401742497577</v>
      </c>
      <c r="N152" s="9">
        <f t="shared" ref="N152:N153" si="93">IFERROR(G152/N$65*1000,0)</f>
        <v>-125.12682206382844</v>
      </c>
      <c r="O152" s="9">
        <f t="shared" ref="O152:P153" si="94">IFERROR(H152/O$65*1000,0)</f>
        <v>-162.87312829468647</v>
      </c>
      <c r="P152" s="9">
        <f t="shared" si="94"/>
        <v>-157.93897199485684</v>
      </c>
    </row>
    <row r="153" spans="2:16" x14ac:dyDescent="0.25">
      <c r="B153" s="52" t="s">
        <v>219</v>
      </c>
      <c r="C153" s="8" t="s">
        <v>220</v>
      </c>
      <c r="D153" s="9">
        <v>-297.10700000000003</v>
      </c>
      <c r="E153" s="9">
        <v>-371.94900000000001</v>
      </c>
      <c r="F153" s="9">
        <v>-312.12599999999998</v>
      </c>
      <c r="G153" s="9">
        <v>-233.69399999999999</v>
      </c>
      <c r="H153" s="9">
        <v>-231.95</v>
      </c>
      <c r="I153" s="9">
        <v>-231.95</v>
      </c>
      <c r="K153" s="9">
        <f t="shared" si="90"/>
        <v>-1000.6297992725313</v>
      </c>
      <c r="L153" s="9">
        <f t="shared" si="91"/>
        <v>-1205.0443854078922</v>
      </c>
      <c r="M153" s="9">
        <f t="shared" si="92"/>
        <v>-1007.1829622458856</v>
      </c>
      <c r="N153" s="9">
        <f t="shared" si="93"/>
        <v>-750.31785783086116</v>
      </c>
      <c r="O153" s="9">
        <f t="shared" si="94"/>
        <v>-750.13744704246312</v>
      </c>
      <c r="P153" s="9">
        <f t="shared" si="94"/>
        <v>-727.41242512622694</v>
      </c>
    </row>
    <row r="154" spans="2:16" x14ac:dyDescent="0.25">
      <c r="B154" s="59" t="s">
        <v>221</v>
      </c>
      <c r="C154" s="60" t="s">
        <v>222</v>
      </c>
      <c r="D154" s="58">
        <f t="shared" ref="D154:F154" si="95">+D151+D152+D153</f>
        <v>642.19799999999987</v>
      </c>
      <c r="E154" s="58">
        <f t="shared" si="95"/>
        <v>328.28699999999998</v>
      </c>
      <c r="F154" s="58">
        <f t="shared" si="95"/>
        <v>697.59099999999989</v>
      </c>
      <c r="G154" s="58">
        <f>+G151+G152+G153</f>
        <v>2023.1719999999996</v>
      </c>
      <c r="H154" s="58">
        <f>+H151+H152+H153</f>
        <v>963.34599999999932</v>
      </c>
      <c r="I154" s="58">
        <f>+I151+I152+I153</f>
        <v>963.34599999999932</v>
      </c>
      <c r="K154" s="58">
        <f t="shared" ref="K154" si="96">+K151+K152+K153</f>
        <v>2162.8654182944897</v>
      </c>
      <c r="L154" s="58">
        <f t="shared" ref="L154" si="97">+L151+L152+L153</f>
        <v>1063.5877664744376</v>
      </c>
      <c r="M154" s="58">
        <f t="shared" ref="M154" si="98">+M151+M152+M153</f>
        <v>2251.0196837689573</v>
      </c>
      <c r="N154" s="58">
        <f>+N151+N152+N153</f>
        <v>6495.7683169588381</v>
      </c>
      <c r="O154" s="58">
        <f>+O151+O152+O153</f>
        <v>3115.5072604378897</v>
      </c>
      <c r="P154" s="58">
        <f>+P151+P152+P153</f>
        <v>3021.1245962304379</v>
      </c>
    </row>
    <row r="155" spans="2:16" x14ac:dyDescent="0.25">
      <c r="B155" s="56" t="s">
        <v>223</v>
      </c>
      <c r="C155" s="57" t="s">
        <v>224</v>
      </c>
      <c r="D155" s="9">
        <v>-6.6139999999999999</v>
      </c>
      <c r="E155" s="9">
        <v>-9.266</v>
      </c>
      <c r="F155" s="9">
        <v>-36.585999999999999</v>
      </c>
      <c r="G155" s="9">
        <v>-115.673</v>
      </c>
      <c r="H155" s="9">
        <v>-86.578000000000003</v>
      </c>
      <c r="I155" s="9">
        <v>-86.578000000000003</v>
      </c>
      <c r="K155" s="9">
        <f t="shared" ref="K155" si="99">IFERROR(D155/K$65*1000,0)</f>
        <v>-22.275360366428668</v>
      </c>
      <c r="L155" s="9">
        <f t="shared" ref="L155" si="100">IFERROR(E155/L$65*1000,0)</f>
        <v>-30.020086826929305</v>
      </c>
      <c r="M155" s="9">
        <f t="shared" ref="M155" si="101">IFERROR(F155/M$65*1000,0)</f>
        <v>-118.05743788318813</v>
      </c>
      <c r="N155" s="9">
        <f t="shared" ref="N155" si="102">IFERROR(G155/N$65*1000,0)</f>
        <v>-371.38958453734028</v>
      </c>
      <c r="O155" s="9">
        <f t="shared" ref="O155:P155" si="103">IFERROR(H155/O$65*1000,0)</f>
        <v>-279.99741276155368</v>
      </c>
      <c r="P155" s="9">
        <f t="shared" si="103"/>
        <v>-271.51503747608746</v>
      </c>
    </row>
    <row r="156" spans="2:16" x14ac:dyDescent="0.25">
      <c r="B156" s="54" t="s">
        <v>225</v>
      </c>
      <c r="C156" s="6" t="s">
        <v>226</v>
      </c>
      <c r="D156" s="13">
        <f t="shared" ref="D156:F156" si="104">+D154+D155</f>
        <v>635.58399999999983</v>
      </c>
      <c r="E156" s="13">
        <f t="shared" si="104"/>
        <v>319.02099999999996</v>
      </c>
      <c r="F156" s="13">
        <f t="shared" si="104"/>
        <v>661.00499999999988</v>
      </c>
      <c r="G156" s="13">
        <f>+G154+G155</f>
        <v>1907.4989999999996</v>
      </c>
      <c r="H156" s="13">
        <f>+H154+H155</f>
        <v>876.76799999999935</v>
      </c>
      <c r="I156" s="13">
        <f>+I154+I155</f>
        <v>876.76799999999935</v>
      </c>
      <c r="K156" s="13">
        <f t="shared" ref="K156" si="105">+K154+K155</f>
        <v>2140.590057928061</v>
      </c>
      <c r="L156" s="13">
        <f t="shared" ref="L156" si="106">+L154+L155</f>
        <v>1033.5676796475082</v>
      </c>
      <c r="M156" s="13">
        <f t="shared" ref="M156" si="107">+M154+M155</f>
        <v>2132.9622458857693</v>
      </c>
      <c r="N156" s="13">
        <f>+N154+N155</f>
        <v>6124.3787324214982</v>
      </c>
      <c r="O156" s="13">
        <f>+O154+O155</f>
        <v>2835.509847676336</v>
      </c>
      <c r="P156" s="13">
        <f>+P154+P155</f>
        <v>2749.6095587543505</v>
      </c>
    </row>
    <row r="157" spans="2:16" x14ac:dyDescent="0.25">
      <c r="B157" s="52" t="s">
        <v>227</v>
      </c>
      <c r="C157" s="8" t="s">
        <v>228</v>
      </c>
      <c r="D157" s="9">
        <v>37.470999999999997</v>
      </c>
      <c r="E157" s="9">
        <v>25.259</v>
      </c>
      <c r="F157" s="9">
        <v>36.619999999999997</v>
      </c>
      <c r="G157" s="9">
        <v>7.6289999999999996</v>
      </c>
      <c r="H157" s="9">
        <v>22.95</v>
      </c>
      <c r="I157" s="9">
        <v>22.95</v>
      </c>
      <c r="K157" s="9">
        <f t="shared" ref="K157:K162" si="108">IFERROR(D157/K$65*1000,0)</f>
        <v>126.19897615519329</v>
      </c>
      <c r="L157" s="9">
        <f t="shared" ref="L157:L162" si="109">IFERROR(E157/L$65*1000,0)</f>
        <v>81.83438087215707</v>
      </c>
      <c r="M157" s="9">
        <f t="shared" ref="M157:M162" si="110">IFERROR(F157/M$65*1000,0)</f>
        <v>118.16715069377219</v>
      </c>
      <c r="N157" s="9">
        <f t="shared" ref="N157:N162" si="111">IFERROR(G157/N$65*1000,0)</f>
        <v>24.49431708726642</v>
      </c>
      <c r="O157" s="9">
        <f t="shared" ref="O157:P162" si="112">IFERROR(H157/O$65*1000,0)</f>
        <v>74.221402930047546</v>
      </c>
      <c r="P157" s="9">
        <f t="shared" si="112"/>
        <v>71.972904318374262</v>
      </c>
    </row>
    <row r="158" spans="2:16" x14ac:dyDescent="0.25">
      <c r="B158" s="52" t="s">
        <v>229</v>
      </c>
      <c r="C158" s="8" t="s">
        <v>230</v>
      </c>
      <c r="D158" s="9">
        <v>-139.74700000000001</v>
      </c>
      <c r="E158" s="9">
        <v>-181.18899999999999</v>
      </c>
      <c r="F158" s="9">
        <v>-206.37</v>
      </c>
      <c r="G158" s="9">
        <v>-151.86500000000001</v>
      </c>
      <c r="H158" s="9">
        <v>-1529.6179999999999</v>
      </c>
      <c r="I158" s="9">
        <v>-1529.6179999999999</v>
      </c>
      <c r="K158" s="9">
        <f t="shared" si="108"/>
        <v>-470.65539539269838</v>
      </c>
      <c r="L158" s="9">
        <f t="shared" si="109"/>
        <v>-587.01807814423637</v>
      </c>
      <c r="M158" s="9">
        <f t="shared" si="110"/>
        <v>-665.92449177153924</v>
      </c>
      <c r="N158" s="9">
        <f t="shared" si="111"/>
        <v>-487.5907018557761</v>
      </c>
      <c r="O158" s="9">
        <f t="shared" si="112"/>
        <v>-4946.8581223116971</v>
      </c>
      <c r="P158" s="9">
        <f t="shared" si="112"/>
        <v>-4796.9956408567759</v>
      </c>
    </row>
    <row r="159" spans="2:16" x14ac:dyDescent="0.25">
      <c r="B159" s="52" t="s">
        <v>231</v>
      </c>
      <c r="C159" s="8" t="s">
        <v>232</v>
      </c>
      <c r="D159" s="9">
        <v>-97.2</v>
      </c>
      <c r="E159" s="9">
        <v>0</v>
      </c>
      <c r="F159" s="9">
        <v>696.77599999999995</v>
      </c>
      <c r="G159" s="9">
        <v>0</v>
      </c>
      <c r="H159" s="11">
        <v>0</v>
      </c>
      <c r="I159" s="11">
        <v>0</v>
      </c>
      <c r="K159" s="9">
        <f t="shared" si="108"/>
        <v>-327.36090529435535</v>
      </c>
      <c r="L159" s="9">
        <f t="shared" si="109"/>
        <v>0</v>
      </c>
      <c r="M159" s="9">
        <f t="shared" si="110"/>
        <v>2248.3898031623103</v>
      </c>
      <c r="N159" s="9">
        <f t="shared" si="111"/>
        <v>0</v>
      </c>
      <c r="O159" s="9">
        <f t="shared" si="112"/>
        <v>0</v>
      </c>
      <c r="P159" s="9">
        <f t="shared" si="112"/>
        <v>0</v>
      </c>
    </row>
    <row r="160" spans="2:16" x14ac:dyDescent="0.25">
      <c r="B160" s="52" t="s">
        <v>233</v>
      </c>
      <c r="C160" s="8" t="s">
        <v>234</v>
      </c>
      <c r="D160" s="9">
        <v>0.72899999999999998</v>
      </c>
      <c r="E160" s="9">
        <v>29.62</v>
      </c>
      <c r="F160" s="9">
        <v>21.923999999999999</v>
      </c>
      <c r="G160" s="9">
        <v>188.74799999999999</v>
      </c>
      <c r="H160" s="9">
        <v>102.581</v>
      </c>
      <c r="I160" s="9">
        <v>102.581</v>
      </c>
      <c r="K160" s="9">
        <f t="shared" si="108"/>
        <v>2.4552067897076655</v>
      </c>
      <c r="L160" s="9">
        <f t="shared" si="109"/>
        <v>95.963195749368239</v>
      </c>
      <c r="M160" s="9">
        <f t="shared" si="110"/>
        <v>70.745401742497577</v>
      </c>
      <c r="N160" s="9">
        <f t="shared" si="111"/>
        <v>606.01040261991909</v>
      </c>
      <c r="O160" s="9">
        <f t="shared" si="112"/>
        <v>331.75188383299383</v>
      </c>
      <c r="P160" s="9">
        <f t="shared" si="112"/>
        <v>321.70163389469064</v>
      </c>
    </row>
    <row r="161" spans="2:16" x14ac:dyDescent="0.25">
      <c r="B161" s="52" t="s">
        <v>235</v>
      </c>
      <c r="C161" s="8" t="s">
        <v>236</v>
      </c>
      <c r="D161" s="9">
        <v>0</v>
      </c>
      <c r="E161" s="9">
        <v>0</v>
      </c>
      <c r="F161" s="9">
        <v>-168</v>
      </c>
      <c r="G161" s="9">
        <v>-181.03399999999999</v>
      </c>
      <c r="H161" s="11">
        <v>0</v>
      </c>
      <c r="I161" s="11">
        <v>0</v>
      </c>
      <c r="K161" s="9">
        <f t="shared" si="108"/>
        <v>0</v>
      </c>
      <c r="L161" s="9">
        <f t="shared" si="109"/>
        <v>0</v>
      </c>
      <c r="M161" s="9">
        <f t="shared" si="110"/>
        <v>-542.11035818005814</v>
      </c>
      <c r="N161" s="9">
        <f t="shared" si="111"/>
        <v>-581.24317729403447</v>
      </c>
      <c r="O161" s="9">
        <f t="shared" si="112"/>
        <v>0</v>
      </c>
      <c r="P161" s="9">
        <f t="shared" si="112"/>
        <v>0</v>
      </c>
    </row>
    <row r="162" spans="2:16" x14ac:dyDescent="0.25">
      <c r="B162" s="52" t="s">
        <v>237</v>
      </c>
      <c r="C162" s="8" t="s">
        <v>238</v>
      </c>
      <c r="D162" s="9">
        <v>0</v>
      </c>
      <c r="E162" s="9">
        <v>0</v>
      </c>
      <c r="F162" s="9">
        <v>162.9</v>
      </c>
      <c r="G162" s="9">
        <v>0</v>
      </c>
      <c r="H162" s="9">
        <v>0.44800000000000001</v>
      </c>
      <c r="I162" s="9">
        <v>0.44800000000000001</v>
      </c>
      <c r="K162" s="9">
        <f t="shared" si="108"/>
        <v>0</v>
      </c>
      <c r="L162" s="9">
        <f t="shared" si="109"/>
        <v>0</v>
      </c>
      <c r="M162" s="9">
        <f t="shared" si="110"/>
        <v>525.65343659244922</v>
      </c>
      <c r="N162" s="9">
        <f t="shared" si="111"/>
        <v>0</v>
      </c>
      <c r="O162" s="9">
        <f t="shared" si="112"/>
        <v>1.4488535299634555</v>
      </c>
      <c r="P162" s="9">
        <f t="shared" si="112"/>
        <v>1.4049612694828613</v>
      </c>
    </row>
    <row r="163" spans="2:16" x14ac:dyDescent="0.25">
      <c r="B163" s="54" t="s">
        <v>239</v>
      </c>
      <c r="C163" s="6" t="s">
        <v>240</v>
      </c>
      <c r="D163" s="13">
        <f t="shared" ref="D163:F163" si="113">SUM(D157:D162)</f>
        <v>-198.74699999999999</v>
      </c>
      <c r="E163" s="13">
        <f t="shared" si="113"/>
        <v>-126.31</v>
      </c>
      <c r="F163" s="13">
        <f t="shared" si="113"/>
        <v>543.84999999999991</v>
      </c>
      <c r="G163" s="13">
        <f>SUM(G157:G162)</f>
        <v>-136.52200000000002</v>
      </c>
      <c r="H163" s="13">
        <f>SUM(H157:H162)</f>
        <v>-1403.6389999999999</v>
      </c>
      <c r="I163" s="13">
        <f>SUM(I157:I162)</f>
        <v>-1403.6389999999999</v>
      </c>
      <c r="K163" s="13">
        <f t="shared" ref="K163" si="114">SUM(K157:K162)</f>
        <v>-669.3621177421528</v>
      </c>
      <c r="L163" s="13">
        <f t="shared" ref="L163" si="115">SUM(L157:L162)</f>
        <v>-409.22050152271106</v>
      </c>
      <c r="M163" s="13">
        <f t="shared" ref="M163" si="116">SUM(M157:M162)</f>
        <v>1754.9209422394317</v>
      </c>
      <c r="N163" s="13">
        <f>SUM(N157:N162)</f>
        <v>-438.32915944262504</v>
      </c>
      <c r="O163" s="13">
        <f>SUM(O157:O162)</f>
        <v>-4539.4359820186919</v>
      </c>
      <c r="P163" s="13">
        <f>SUM(P157:P162)</f>
        <v>-4401.9161413742286</v>
      </c>
    </row>
    <row r="164" spans="2:16" x14ac:dyDescent="0.25">
      <c r="B164" s="52" t="s">
        <v>241</v>
      </c>
      <c r="C164" s="8" t="s">
        <v>24</v>
      </c>
      <c r="D164" s="9">
        <v>500</v>
      </c>
      <c r="E164" s="9">
        <v>43.064999999999998</v>
      </c>
      <c r="F164" s="9">
        <v>52.3</v>
      </c>
      <c r="G164" s="9">
        <v>0</v>
      </c>
      <c r="H164" s="9">
        <v>189</v>
      </c>
      <c r="I164" s="9">
        <v>189</v>
      </c>
      <c r="K164" s="9">
        <f t="shared" ref="K164:K171" si="117">IFERROR(D164/K$65*1000,0)</f>
        <v>1683.9552741479185</v>
      </c>
      <c r="L164" s="9">
        <f t="shared" ref="L164:L171" si="118">IFERROR(E164/L$65*1000,0)</f>
        <v>139.52245188880968</v>
      </c>
      <c r="M164" s="9">
        <f t="shared" ref="M164:M171" si="119">IFERROR(F164/M$65*1000,0)</f>
        <v>168.76411745724428</v>
      </c>
      <c r="N164" s="9">
        <f t="shared" ref="N164:N171" si="120">IFERROR(G164/N$65*1000,0)</f>
        <v>0</v>
      </c>
      <c r="O164" s="9">
        <f t="shared" ref="O164:P171" si="121">IFERROR(H164/O$65*1000,0)</f>
        <v>611.23508295333272</v>
      </c>
      <c r="P164" s="9">
        <f t="shared" si="121"/>
        <v>592.71803556308214</v>
      </c>
    </row>
    <row r="165" spans="2:16" x14ac:dyDescent="0.25">
      <c r="B165" s="52" t="s">
        <v>242</v>
      </c>
      <c r="C165" s="8" t="s">
        <v>243</v>
      </c>
      <c r="D165" s="9">
        <v>-986.93600000000004</v>
      </c>
      <c r="E165" s="9">
        <v>-848.23800000000006</v>
      </c>
      <c r="F165" s="9">
        <v>-1033.777</v>
      </c>
      <c r="G165" s="9">
        <v>-719.26300000000003</v>
      </c>
      <c r="H165" s="9">
        <v>-320.14</v>
      </c>
      <c r="I165" s="9">
        <v>-320.14</v>
      </c>
      <c r="K165" s="9">
        <f t="shared" si="117"/>
        <v>-3323.9121648929004</v>
      </c>
      <c r="L165" s="9">
        <f t="shared" si="118"/>
        <v>-2748.1306291712563</v>
      </c>
      <c r="M165" s="9">
        <f t="shared" si="119"/>
        <v>-3335.8405937399166</v>
      </c>
      <c r="N165" s="9">
        <f t="shared" si="120"/>
        <v>-2309.3270403904194</v>
      </c>
      <c r="O165" s="9">
        <f t="shared" si="121"/>
        <v>-1035.3481452734388</v>
      </c>
      <c r="P165" s="9">
        <f t="shared" si="121"/>
        <v>-1003.9828143130429</v>
      </c>
    </row>
    <row r="166" spans="2:16" x14ac:dyDescent="0.25">
      <c r="B166" s="52" t="s">
        <v>244</v>
      </c>
      <c r="C166" s="8" t="s">
        <v>245</v>
      </c>
      <c r="D166" s="9" t="s">
        <v>12</v>
      </c>
      <c r="E166" s="9">
        <v>2655.1289999999999</v>
      </c>
      <c r="F166" s="9" t="s">
        <v>12</v>
      </c>
      <c r="G166" s="9">
        <v>0</v>
      </c>
      <c r="H166" s="9">
        <v>2630.623</v>
      </c>
      <c r="I166" s="9">
        <v>2630.623</v>
      </c>
      <c r="K166" s="9">
        <f t="shared" si="117"/>
        <v>0</v>
      </c>
      <c r="L166" s="9">
        <f t="shared" si="118"/>
        <v>8602.1155964491663</v>
      </c>
      <c r="M166" s="9">
        <f t="shared" si="119"/>
        <v>0</v>
      </c>
      <c r="N166" s="9">
        <f t="shared" si="120"/>
        <v>0</v>
      </c>
      <c r="O166" s="9">
        <f t="shared" si="121"/>
        <v>8507.5612043594974</v>
      </c>
      <c r="P166" s="9">
        <f t="shared" si="121"/>
        <v>8249.8290839527072</v>
      </c>
    </row>
    <row r="167" spans="2:16" x14ac:dyDescent="0.25">
      <c r="B167" s="52" t="s">
        <v>246</v>
      </c>
      <c r="C167" s="8" t="s">
        <v>247</v>
      </c>
      <c r="D167" s="9">
        <v>0</v>
      </c>
      <c r="E167" s="9">
        <v>-579.99199999999996</v>
      </c>
      <c r="F167" s="9" t="s">
        <v>12</v>
      </c>
      <c r="G167" s="9">
        <v>0</v>
      </c>
      <c r="H167" s="9">
        <v>-2636.4639999999999</v>
      </c>
      <c r="I167" s="9">
        <v>-2636.4639999999999</v>
      </c>
      <c r="K167" s="9">
        <f t="shared" si="117"/>
        <v>0</v>
      </c>
      <c r="L167" s="9">
        <f t="shared" si="118"/>
        <v>-1879.0643426423894</v>
      </c>
      <c r="M167" s="9">
        <f t="shared" si="119"/>
        <v>0</v>
      </c>
      <c r="N167" s="9">
        <f t="shared" si="120"/>
        <v>0</v>
      </c>
      <c r="O167" s="9">
        <f t="shared" si="121"/>
        <v>-8526.4512790660083</v>
      </c>
      <c r="P167" s="9">
        <f t="shared" si="121"/>
        <v>-8268.1468937184436</v>
      </c>
    </row>
    <row r="168" spans="2:16" x14ac:dyDescent="0.25">
      <c r="B168" s="52" t="s">
        <v>248</v>
      </c>
      <c r="C168" s="8" t="s">
        <v>249</v>
      </c>
      <c r="D168" s="9">
        <v>0</v>
      </c>
      <c r="E168" s="9" t="s">
        <v>12</v>
      </c>
      <c r="F168" s="9">
        <v>-365.76100000000002</v>
      </c>
      <c r="G168" s="9">
        <v>1140.0909999999999</v>
      </c>
      <c r="H168" s="11">
        <v>0</v>
      </c>
      <c r="I168" s="11">
        <v>0</v>
      </c>
      <c r="K168" s="9">
        <f t="shared" si="117"/>
        <v>0</v>
      </c>
      <c r="L168" s="9">
        <f t="shared" si="118"/>
        <v>0</v>
      </c>
      <c r="M168" s="9">
        <f t="shared" si="119"/>
        <v>-1180.2549209422396</v>
      </c>
      <c r="N168" s="9">
        <f t="shared" si="120"/>
        <v>3660.4732549926152</v>
      </c>
      <c r="O168" s="9">
        <f t="shared" si="121"/>
        <v>0</v>
      </c>
      <c r="P168" s="9">
        <f t="shared" si="121"/>
        <v>0</v>
      </c>
    </row>
    <row r="169" spans="2:16" x14ac:dyDescent="0.25">
      <c r="B169" s="52" t="s">
        <v>250</v>
      </c>
      <c r="C169" s="8"/>
      <c r="D169" s="9">
        <v>0</v>
      </c>
      <c r="E169" s="9">
        <v>0</v>
      </c>
      <c r="F169" s="9">
        <v>0</v>
      </c>
      <c r="G169" s="9">
        <v>-198.46899999999999</v>
      </c>
      <c r="H169" s="11">
        <v>-254.00700000000001</v>
      </c>
      <c r="I169" s="11">
        <v>-254.00700000000001</v>
      </c>
      <c r="K169" s="9">
        <f t="shared" si="117"/>
        <v>0</v>
      </c>
      <c r="L169" s="9">
        <f t="shared" si="118"/>
        <v>0</v>
      </c>
      <c r="M169" s="9">
        <f t="shared" si="119"/>
        <v>0</v>
      </c>
      <c r="N169" s="9">
        <f t="shared" si="120"/>
        <v>-637.22147306235161</v>
      </c>
      <c r="O169" s="9">
        <f t="shared" si="121"/>
        <v>-821.47084505675764</v>
      </c>
      <c r="P169" s="9">
        <f t="shared" si="121"/>
        <v>-796.58481512842229</v>
      </c>
    </row>
    <row r="170" spans="2:16" x14ac:dyDescent="0.25">
      <c r="B170" s="52" t="s">
        <v>251</v>
      </c>
      <c r="C170" s="8" t="s">
        <v>252</v>
      </c>
      <c r="D170" s="9" t="s">
        <v>12</v>
      </c>
      <c r="E170" s="9" t="s">
        <v>12</v>
      </c>
      <c r="F170" s="9">
        <v>-185.221</v>
      </c>
      <c r="G170" s="9">
        <v>-1.302</v>
      </c>
      <c r="H170" s="9">
        <v>-2.4289999999999998</v>
      </c>
      <c r="I170" s="9">
        <v>-2.4289999999999998</v>
      </c>
      <c r="K170" s="9">
        <f t="shared" si="117"/>
        <v>0</v>
      </c>
      <c r="L170" s="9">
        <f t="shared" si="118"/>
        <v>0</v>
      </c>
      <c r="M170" s="9">
        <f t="shared" si="119"/>
        <v>-597.67989674088415</v>
      </c>
      <c r="N170" s="9">
        <f t="shared" si="120"/>
        <v>-4.1803120785975736</v>
      </c>
      <c r="O170" s="9">
        <f t="shared" si="121"/>
        <v>-7.8555027327706082</v>
      </c>
      <c r="P170" s="9">
        <f t="shared" si="121"/>
        <v>-7.617524382977388</v>
      </c>
    </row>
    <row r="171" spans="2:16" x14ac:dyDescent="0.25">
      <c r="B171" s="52" t="s">
        <v>253</v>
      </c>
      <c r="C171" s="8" t="s">
        <v>254</v>
      </c>
      <c r="D171" s="9">
        <v>-12.766999999999999</v>
      </c>
      <c r="E171" s="9">
        <v>-88.593999999999994</v>
      </c>
      <c r="F171" s="9" t="s">
        <v>12</v>
      </c>
      <c r="G171" s="9">
        <v>0</v>
      </c>
      <c r="H171" s="9">
        <v>0</v>
      </c>
      <c r="I171" s="9">
        <v>0</v>
      </c>
      <c r="K171" s="9">
        <f t="shared" si="117"/>
        <v>-42.998113970092945</v>
      </c>
      <c r="L171" s="9">
        <f t="shared" si="118"/>
        <v>-287.02779757662148</v>
      </c>
      <c r="M171" s="9">
        <f t="shared" si="119"/>
        <v>0</v>
      </c>
      <c r="N171" s="9">
        <f t="shared" si="120"/>
        <v>0</v>
      </c>
      <c r="O171" s="9">
        <f t="shared" si="121"/>
        <v>0</v>
      </c>
      <c r="P171" s="9">
        <f t="shared" si="121"/>
        <v>0</v>
      </c>
    </row>
    <row r="172" spans="2:16" x14ac:dyDescent="0.25">
      <c r="B172" s="54" t="s">
        <v>255</v>
      </c>
      <c r="C172" s="6" t="s">
        <v>256</v>
      </c>
      <c r="D172" s="13">
        <f t="shared" ref="D172:F172" si="122">SUM(D164:D171)</f>
        <v>-499.70300000000003</v>
      </c>
      <c r="E172" s="13">
        <f t="shared" si="122"/>
        <v>1181.3699999999999</v>
      </c>
      <c r="F172" s="13">
        <f t="shared" si="122"/>
        <v>-1532.4590000000001</v>
      </c>
      <c r="G172" s="13">
        <f>SUM(G164:G171)</f>
        <v>221.05699999999987</v>
      </c>
      <c r="H172" s="13">
        <f>SUM(H164:H171)</f>
        <v>-393.41699999999975</v>
      </c>
      <c r="I172" s="13">
        <f>SUM(I164:I171)</f>
        <v>-393.41699999999975</v>
      </c>
      <c r="K172" s="13">
        <f t="shared" ref="K172" si="123">SUM(K164:K171)</f>
        <v>-1682.9550047150747</v>
      </c>
      <c r="L172" s="13">
        <f t="shared" ref="L172" si="124">SUM(L164:L171)</f>
        <v>3827.4152789477089</v>
      </c>
      <c r="M172" s="13">
        <f t="shared" ref="M172" si="125">SUM(M164:M171)</f>
        <v>-4945.0112939657965</v>
      </c>
      <c r="N172" s="13">
        <f>SUM(N164:N171)</f>
        <v>709.74442946124668</v>
      </c>
      <c r="O172" s="13">
        <f>SUM(O164:O171)</f>
        <v>-1272.3294848161454</v>
      </c>
      <c r="P172" s="13">
        <f>SUM(P164:P171)</f>
        <v>-1233.7849280270968</v>
      </c>
    </row>
    <row r="173" spans="2:16" x14ac:dyDescent="0.25">
      <c r="B173" s="54" t="s">
        <v>257</v>
      </c>
      <c r="C173" s="6" t="s">
        <v>258</v>
      </c>
      <c r="D173" s="13">
        <f t="shared" ref="D173:F173" si="126">+D172+D163+D156</f>
        <v>-62.866000000000213</v>
      </c>
      <c r="E173" s="13">
        <f t="shared" si="126"/>
        <v>1374.0809999999999</v>
      </c>
      <c r="F173" s="13">
        <f t="shared" si="126"/>
        <v>-327.60400000000027</v>
      </c>
      <c r="G173" s="13">
        <f>+G172+G163+G156</f>
        <v>1992.0339999999994</v>
      </c>
      <c r="H173" s="13">
        <f>+H172+H163+H156</f>
        <v>-920.28800000000024</v>
      </c>
      <c r="I173" s="13">
        <f>+I172+I163+I156</f>
        <v>-920.28800000000024</v>
      </c>
      <c r="K173" s="13">
        <f t="shared" ref="K173" si="127">+K172+K163+K156</f>
        <v>-211.72706452916646</v>
      </c>
      <c r="L173" s="13">
        <f t="shared" ref="L173" si="128">+L172+L163+L156</f>
        <v>4451.7624570725056</v>
      </c>
      <c r="M173" s="13">
        <f t="shared" ref="M173" si="129">+M172+M163+M156</f>
        <v>-1057.1281058405957</v>
      </c>
      <c r="N173" s="13">
        <f>+N172+N163+N156</f>
        <v>6395.7940024401196</v>
      </c>
      <c r="O173" s="13">
        <f>+O172+O163+O156</f>
        <v>-2976.2556191585008</v>
      </c>
      <c r="P173" s="13">
        <f>+P172+P163+P156</f>
        <v>-2886.0915106469747</v>
      </c>
    </row>
    <row r="174" spans="2:16" x14ac:dyDescent="0.25">
      <c r="B174" s="52" t="s">
        <v>259</v>
      </c>
      <c r="C174" s="8" t="s">
        <v>260</v>
      </c>
      <c r="D174" s="9">
        <v>940.96600000000001</v>
      </c>
      <c r="E174" s="9">
        <v>878.1</v>
      </c>
      <c r="F174" s="9">
        <v>2252.163</v>
      </c>
      <c r="G174" s="9">
        <v>1924.559</v>
      </c>
      <c r="H174" s="9">
        <v>3915.0909999999999</v>
      </c>
      <c r="I174" s="9">
        <v>3915.0909999999999</v>
      </c>
      <c r="K174" s="9">
        <f t="shared" ref="K174:K175" si="130">IFERROR(D174/K$65*1000,0)</f>
        <v>3169.0893169877404</v>
      </c>
      <c r="L174" s="9">
        <f t="shared" ref="L174:L175" si="131">IFERROR(E174/L$65*1000,0)</f>
        <v>2844.8778591330265</v>
      </c>
      <c r="M174" s="9">
        <f t="shared" ref="M174:M175" si="132">IFERROR(F174/M$65*1000,0)</f>
        <v>7267.386253630204</v>
      </c>
      <c r="N174" s="9">
        <f t="shared" ref="N174:N175" si="133">IFERROR(G174/N$65*1000,0)</f>
        <v>6179.1530212547359</v>
      </c>
      <c r="O174" s="9">
        <f t="shared" ref="O174:P175" si="134">IFERROR(H174/O$65*1000,0)</f>
        <v>12661.592445263737</v>
      </c>
      <c r="P174" s="9">
        <f t="shared" si="134"/>
        <v>12278.016119421707</v>
      </c>
    </row>
    <row r="175" spans="2:16" x14ac:dyDescent="0.25">
      <c r="B175" s="52" t="s">
        <v>261</v>
      </c>
      <c r="C175" s="8"/>
      <c r="D175" s="9">
        <v>0</v>
      </c>
      <c r="E175" s="9">
        <v>0</v>
      </c>
      <c r="F175" s="9">
        <v>0</v>
      </c>
      <c r="G175" s="9">
        <v>-1.5029999999999999</v>
      </c>
      <c r="H175" s="9">
        <v>-6.6509999999999998</v>
      </c>
      <c r="I175" s="9">
        <v>-6.6509999999999998</v>
      </c>
      <c r="K175" s="9">
        <f t="shared" si="130"/>
        <v>0</v>
      </c>
      <c r="L175" s="9">
        <f t="shared" si="131"/>
        <v>0</v>
      </c>
      <c r="M175" s="9">
        <f t="shared" si="132"/>
        <v>0</v>
      </c>
      <c r="N175" s="9">
        <f t="shared" si="133"/>
        <v>-4.8256597958004246</v>
      </c>
      <c r="O175" s="9">
        <f t="shared" si="134"/>
        <v>-21.509653633452995</v>
      </c>
      <c r="P175" s="9">
        <f t="shared" si="134"/>
        <v>-20.858029918148461</v>
      </c>
    </row>
    <row r="176" spans="2:16" ht="15.75" thickBot="1" x14ac:dyDescent="0.3">
      <c r="B176" s="61" t="s">
        <v>262</v>
      </c>
      <c r="C176" s="62" t="s">
        <v>263</v>
      </c>
      <c r="D176" s="63">
        <f t="shared" ref="D176:F176" si="135">+D173+D174+D175</f>
        <v>878.0999999999998</v>
      </c>
      <c r="E176" s="63">
        <f t="shared" si="135"/>
        <v>2252.181</v>
      </c>
      <c r="F176" s="63">
        <f t="shared" si="135"/>
        <v>1924.5589999999997</v>
      </c>
      <c r="G176" s="63">
        <f>+G173+G174+G175</f>
        <v>3915.0899999999992</v>
      </c>
      <c r="H176" s="63">
        <f>+H173+H174+H175</f>
        <v>2988.152</v>
      </c>
      <c r="I176" s="63">
        <f>+I173+I174+I175</f>
        <v>2988.152</v>
      </c>
      <c r="K176" s="63">
        <f t="shared" ref="K176" si="136">+K173+K174+K175</f>
        <v>2957.3622524585739</v>
      </c>
      <c r="L176" s="63">
        <f t="shared" ref="L176" si="137">+L173+L174+L175</f>
        <v>7296.6403162055321</v>
      </c>
      <c r="M176" s="63">
        <f t="shared" ref="M176" si="138">+M173+M174+M175</f>
        <v>6210.2581477896083</v>
      </c>
      <c r="N176" s="63">
        <f>+N173+N174+N175</f>
        <v>12570.121363899054</v>
      </c>
      <c r="O176" s="63">
        <f>+O173+O174+O175</f>
        <v>9663.8271724717833</v>
      </c>
      <c r="P176" s="63">
        <f>+P173+P174+P175</f>
        <v>9371.0665788565839</v>
      </c>
    </row>
  </sheetData>
  <mergeCells count="2">
    <mergeCell ref="D2:H2"/>
    <mergeCell ref="K2:O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K138"/>
  <sheetViews>
    <sheetView topLeftCell="A19" zoomScaleNormal="100" workbookViewId="0">
      <selection activeCell="E30" sqref="E30"/>
    </sheetView>
  </sheetViews>
  <sheetFormatPr defaultRowHeight="15" x14ac:dyDescent="0.25"/>
  <cols>
    <col min="2" max="2" width="36.5703125" style="92" customWidth="1"/>
    <col min="3" max="3" width="36.42578125" style="92" customWidth="1"/>
    <col min="4" max="4" width="13.28515625" customWidth="1"/>
    <col min="5" max="5" width="13.7109375" customWidth="1"/>
    <col min="6" max="6" width="14" customWidth="1"/>
    <col min="9" max="9" width="12.28515625" customWidth="1"/>
    <col min="10" max="10" width="13.7109375" style="108" customWidth="1"/>
    <col min="11" max="11" width="13.28515625" style="108" bestFit="1" customWidth="1"/>
  </cols>
  <sheetData>
    <row r="1" spans="2:11" ht="18.75" x14ac:dyDescent="0.3">
      <c r="I1" s="218" t="s">
        <v>293</v>
      </c>
      <c r="J1" s="218"/>
    </row>
    <row r="2" spans="2:11" x14ac:dyDescent="0.25">
      <c r="H2" t="s">
        <v>323</v>
      </c>
      <c r="I2" s="200">
        <v>309.45999999999998</v>
      </c>
      <c r="J2" s="198">
        <v>314.08</v>
      </c>
      <c r="K2" s="199">
        <v>320.57</v>
      </c>
    </row>
    <row r="3" spans="2:11" x14ac:dyDescent="0.25">
      <c r="B3" s="93" t="s">
        <v>166</v>
      </c>
      <c r="C3" s="93" t="s">
        <v>167</v>
      </c>
      <c r="D3" s="103" t="s">
        <v>169</v>
      </c>
      <c r="E3" s="103" t="s">
        <v>141</v>
      </c>
      <c r="F3" s="103" t="s">
        <v>285</v>
      </c>
      <c r="I3" s="3" t="s">
        <v>169</v>
      </c>
      <c r="J3" s="103" t="s">
        <v>141</v>
      </c>
      <c r="K3" s="103" t="s">
        <v>285</v>
      </c>
    </row>
    <row r="4" spans="2:11" x14ac:dyDescent="0.25">
      <c r="B4" s="93"/>
      <c r="C4" s="93"/>
      <c r="D4" s="139" t="s">
        <v>171</v>
      </c>
      <c r="E4" s="139" t="s">
        <v>171</v>
      </c>
      <c r="F4" s="139" t="s">
        <v>171</v>
      </c>
      <c r="I4" s="140" t="s">
        <v>181</v>
      </c>
      <c r="J4" s="103" t="s">
        <v>181</v>
      </c>
      <c r="K4" s="139" t="s">
        <v>181</v>
      </c>
    </row>
    <row r="5" spans="2:11" ht="14.45" customHeight="1" x14ac:dyDescent="0.25">
      <c r="B5" s="94" t="s">
        <v>98</v>
      </c>
      <c r="C5" s="94" t="s">
        <v>142</v>
      </c>
      <c r="D5" s="111">
        <v>8634.77</v>
      </c>
      <c r="E5" s="104">
        <v>9276.6434790000003</v>
      </c>
      <c r="F5" s="111">
        <v>12141.442588</v>
      </c>
      <c r="I5" s="135">
        <f>+D5/I$2*1000</f>
        <v>27902.701479997417</v>
      </c>
      <c r="J5" s="104">
        <f>+E5/J$2*1000</f>
        <v>29535.925493504841</v>
      </c>
      <c r="K5" s="111">
        <f>+F5/K$2*1000</f>
        <v>37874.544055900427</v>
      </c>
    </row>
    <row r="6" spans="2:11" x14ac:dyDescent="0.25">
      <c r="B6" s="95" t="s">
        <v>170</v>
      </c>
      <c r="C6" s="95" t="s">
        <v>143</v>
      </c>
      <c r="D6" s="112">
        <v>-6551.1670000000004</v>
      </c>
      <c r="E6" s="105">
        <v>-7213.7795980000001</v>
      </c>
      <c r="F6" s="112">
        <v>-8379.8780210000004</v>
      </c>
      <c r="I6" s="136">
        <f t="shared" ref="I6:K22" si="0">+D6/I$2*1000</f>
        <v>-21169.672978737159</v>
      </c>
      <c r="J6" s="105">
        <f t="shared" si="0"/>
        <v>-22967.968664034644</v>
      </c>
      <c r="K6" s="112">
        <f t="shared" si="0"/>
        <v>-26140.555950338465</v>
      </c>
    </row>
    <row r="7" spans="2:11" x14ac:dyDescent="0.25">
      <c r="B7" s="96" t="s">
        <v>144</v>
      </c>
      <c r="C7" s="96" t="s">
        <v>145</v>
      </c>
      <c r="D7" s="113">
        <v>-1107.2819999999999</v>
      </c>
      <c r="E7" s="106">
        <v>-1245.3993559999999</v>
      </c>
      <c r="F7" s="113">
        <v>-1290.5134969999999</v>
      </c>
      <c r="I7" s="137">
        <f t="shared" si="0"/>
        <v>-3578.1102565759711</v>
      </c>
      <c r="J7" s="106">
        <f t="shared" si="0"/>
        <v>-3965.2297376464594</v>
      </c>
      <c r="K7" s="113">
        <f t="shared" si="0"/>
        <v>-4025.6839286271324</v>
      </c>
    </row>
    <row r="8" spans="2:11" x14ac:dyDescent="0.25">
      <c r="B8" s="96" t="s">
        <v>146</v>
      </c>
      <c r="C8" s="96" t="s">
        <v>147</v>
      </c>
      <c r="D8" s="113">
        <v>-284.24700000000001</v>
      </c>
      <c r="E8" s="106">
        <v>-336.25823700000001</v>
      </c>
      <c r="F8" s="113">
        <v>-908.34394999999995</v>
      </c>
      <c r="I8" s="137">
        <f t="shared" si="0"/>
        <v>-918.52581916887493</v>
      </c>
      <c r="J8" s="106">
        <f t="shared" si="0"/>
        <v>-1070.6133373662763</v>
      </c>
      <c r="K8" s="113">
        <f t="shared" si="0"/>
        <v>-2833.5276226721153</v>
      </c>
    </row>
    <row r="9" spans="2:11" x14ac:dyDescent="0.25">
      <c r="B9" s="96" t="s">
        <v>108</v>
      </c>
      <c r="C9" s="96" t="s">
        <v>148</v>
      </c>
      <c r="D9" s="113">
        <v>287.04899999999998</v>
      </c>
      <c r="E9" s="106">
        <v>118.66872499999999</v>
      </c>
      <c r="F9" s="113">
        <v>-348.20757500000002</v>
      </c>
      <c r="I9" s="137">
        <f t="shared" si="0"/>
        <v>927.58030116977966</v>
      </c>
      <c r="J9" s="106">
        <f t="shared" si="0"/>
        <v>377.82961347427408</v>
      </c>
      <c r="K9" s="113">
        <f t="shared" si="0"/>
        <v>-1086.2138534485448</v>
      </c>
    </row>
    <row r="10" spans="2:11" x14ac:dyDescent="0.25">
      <c r="B10" s="96" t="s">
        <v>149</v>
      </c>
      <c r="C10" s="96" t="s">
        <v>150</v>
      </c>
      <c r="D10" s="113"/>
      <c r="E10" s="106">
        <v>-22.455480999999999</v>
      </c>
      <c r="F10" s="113">
        <v>-80.143831000000006</v>
      </c>
      <c r="I10" s="137">
        <f t="shared" si="0"/>
        <v>0</v>
      </c>
      <c r="J10" s="106">
        <f t="shared" si="0"/>
        <v>-71.496055145185935</v>
      </c>
      <c r="K10" s="113">
        <f t="shared" si="0"/>
        <v>-250.00415197928695</v>
      </c>
    </row>
    <row r="11" spans="2:11" x14ac:dyDescent="0.25">
      <c r="B11" s="89" t="s">
        <v>151</v>
      </c>
      <c r="C11" s="89" t="s">
        <v>152</v>
      </c>
      <c r="D11" s="114">
        <f>SUM(D5:D10)</f>
        <v>979.12300000000005</v>
      </c>
      <c r="E11" s="86">
        <f>SUM(E5:E10)</f>
        <v>577.41953200000034</v>
      </c>
      <c r="F11" s="114">
        <f>SUM(F5:F10)</f>
        <v>1134.3557139999996</v>
      </c>
      <c r="I11" s="114">
        <f t="shared" si="0"/>
        <v>3163.9727266851942</v>
      </c>
      <c r="J11" s="86">
        <f t="shared" si="0"/>
        <v>1838.4473127865524</v>
      </c>
      <c r="K11" s="114">
        <f t="shared" si="0"/>
        <v>3538.5585488348866</v>
      </c>
    </row>
    <row r="12" spans="2:11" x14ac:dyDescent="0.25">
      <c r="B12" s="96" t="s">
        <v>153</v>
      </c>
      <c r="C12" s="96" t="s">
        <v>154</v>
      </c>
      <c r="D12" s="113">
        <v>-176.41499999999999</v>
      </c>
      <c r="E12" s="106">
        <v>-25.957788999999998</v>
      </c>
      <c r="F12" s="113">
        <v>-361.33734099999998</v>
      </c>
      <c r="I12" s="137">
        <f t="shared" si="0"/>
        <v>-570.07367672720227</v>
      </c>
      <c r="J12" s="106">
        <f t="shared" si="0"/>
        <v>-82.647061258278143</v>
      </c>
      <c r="K12" s="113">
        <f t="shared" si="0"/>
        <v>-1127.1714165392893</v>
      </c>
    </row>
    <row r="13" spans="2:11" x14ac:dyDescent="0.25">
      <c r="B13" s="90" t="s">
        <v>120</v>
      </c>
      <c r="C13" s="90" t="s">
        <v>155</v>
      </c>
      <c r="D13" s="114">
        <f>+D11+D12</f>
        <v>802.70800000000008</v>
      </c>
      <c r="E13" s="86">
        <f>+E11+E12</f>
        <v>551.4617430000003</v>
      </c>
      <c r="F13" s="114">
        <f>+F11+F12</f>
        <v>773.01837299999966</v>
      </c>
      <c r="I13" s="114">
        <f t="shared" si="0"/>
        <v>2593.8990499579918</v>
      </c>
      <c r="J13" s="86">
        <f t="shared" si="0"/>
        <v>1755.800251528274</v>
      </c>
      <c r="K13" s="114">
        <f t="shared" si="0"/>
        <v>2411.3871322955974</v>
      </c>
    </row>
    <row r="14" spans="2:11" x14ac:dyDescent="0.25">
      <c r="B14" s="96" t="s">
        <v>122</v>
      </c>
      <c r="C14" s="96" t="s">
        <v>156</v>
      </c>
      <c r="D14" s="113">
        <v>-215.85499999999999</v>
      </c>
      <c r="E14" s="106">
        <v>-200.574298</v>
      </c>
      <c r="F14" s="113">
        <v>-289.70930399999997</v>
      </c>
      <c r="I14" s="137">
        <f t="shared" si="0"/>
        <v>-697.52148904543401</v>
      </c>
      <c r="J14" s="106">
        <f t="shared" si="0"/>
        <v>-638.60894676515545</v>
      </c>
      <c r="K14" s="113">
        <f t="shared" si="0"/>
        <v>-903.73180272639354</v>
      </c>
    </row>
    <row r="15" spans="2:11" ht="30" x14ac:dyDescent="0.25">
      <c r="B15" s="90" t="s">
        <v>124</v>
      </c>
      <c r="C15" s="90" t="s">
        <v>157</v>
      </c>
      <c r="D15" s="114">
        <f>+D13+D14</f>
        <v>586.85300000000007</v>
      </c>
      <c r="E15" s="86">
        <f>+E13+E14</f>
        <v>350.8874450000003</v>
      </c>
      <c r="F15" s="114">
        <f>+F13+F14</f>
        <v>483.30906899999968</v>
      </c>
      <c r="I15" s="114">
        <f t="shared" si="0"/>
        <v>1896.3775609125578</v>
      </c>
      <c r="J15" s="86">
        <f t="shared" si="0"/>
        <v>1117.1913047631188</v>
      </c>
      <c r="K15" s="114">
        <f t="shared" si="0"/>
        <v>1507.6553295692038</v>
      </c>
    </row>
    <row r="16" spans="2:11" ht="30" x14ac:dyDescent="0.25">
      <c r="B16" s="97" t="s">
        <v>126</v>
      </c>
      <c r="C16" s="96" t="s">
        <v>158</v>
      </c>
      <c r="D16" s="113">
        <v>588.32600000000002</v>
      </c>
      <c r="E16" s="106">
        <v>351.81632500000001</v>
      </c>
      <c r="F16" s="113">
        <v>483.57687199999998</v>
      </c>
      <c r="I16" s="137">
        <f t="shared" si="0"/>
        <v>1901.1374652620696</v>
      </c>
      <c r="J16" s="106">
        <f t="shared" si="0"/>
        <v>1120.1487678298522</v>
      </c>
      <c r="K16" s="113">
        <f t="shared" si="0"/>
        <v>1508.4907258945004</v>
      </c>
    </row>
    <row r="17" spans="2:11" ht="30" x14ac:dyDescent="0.25">
      <c r="B17" s="98" t="s">
        <v>159</v>
      </c>
      <c r="C17" s="98" t="s">
        <v>160</v>
      </c>
      <c r="D17" s="115">
        <v>-1.4730000000000001</v>
      </c>
      <c r="E17" s="107">
        <v>-0.92888000000000004</v>
      </c>
      <c r="F17" s="115">
        <v>-0.26780300000000001</v>
      </c>
      <c r="I17" s="138">
        <f t="shared" si="0"/>
        <v>-4.7599043495120537</v>
      </c>
      <c r="J17" s="107">
        <f t="shared" si="0"/>
        <v>-2.95746306673459</v>
      </c>
      <c r="K17" s="115">
        <f t="shared" si="0"/>
        <v>-0.8353963252955674</v>
      </c>
    </row>
    <row r="18" spans="2:11" ht="15.75" thickBot="1" x14ac:dyDescent="0.3">
      <c r="B18" s="96" t="s">
        <v>161</v>
      </c>
      <c r="C18" s="96" t="s">
        <v>162</v>
      </c>
      <c r="D18" s="113"/>
      <c r="E18" s="106">
        <v>-115.845702</v>
      </c>
      <c r="F18" s="113">
        <v>-1061.3122229999999</v>
      </c>
      <c r="I18" s="137">
        <f t="shared" si="0"/>
        <v>0</v>
      </c>
      <c r="J18" s="106">
        <f t="shared" si="0"/>
        <v>-368.84138436067246</v>
      </c>
      <c r="K18" s="113">
        <f t="shared" si="0"/>
        <v>-3310.7035062544837</v>
      </c>
    </row>
    <row r="19" spans="2:11" ht="31.5" thickTop="1" thickBot="1" x14ac:dyDescent="0.3">
      <c r="B19" s="91" t="s">
        <v>133</v>
      </c>
      <c r="C19" s="91" t="s">
        <v>163</v>
      </c>
      <c r="D19" s="116">
        <f>+D15+D18</f>
        <v>586.85300000000007</v>
      </c>
      <c r="E19" s="87">
        <f>+E15+E18</f>
        <v>235.04174300000028</v>
      </c>
      <c r="F19" s="116">
        <f>+F15+F18</f>
        <v>-578.00315400000022</v>
      </c>
      <c r="I19" s="116">
        <f t="shared" si="0"/>
        <v>1896.3775609125578</v>
      </c>
      <c r="J19" s="87">
        <f t="shared" si="0"/>
        <v>748.34992040244617</v>
      </c>
      <c r="K19" s="116">
        <f t="shared" si="0"/>
        <v>-1803.0481766852802</v>
      </c>
    </row>
    <row r="20" spans="2:11" ht="30.75" thickTop="1" x14ac:dyDescent="0.25">
      <c r="B20" s="96" t="s">
        <v>126</v>
      </c>
      <c r="C20" s="96" t="s">
        <v>158</v>
      </c>
      <c r="D20" s="113"/>
      <c r="E20" s="106">
        <v>235.97062299999999</v>
      </c>
      <c r="F20" s="113">
        <v>-577.73535100000004</v>
      </c>
      <c r="I20" s="137">
        <f t="shared" si="0"/>
        <v>0</v>
      </c>
      <c r="J20" s="106">
        <f t="shared" si="0"/>
        <v>751.30738346917985</v>
      </c>
      <c r="K20" s="113">
        <f t="shared" si="0"/>
        <v>-1802.212780359984</v>
      </c>
    </row>
    <row r="21" spans="2:11" ht="30.75" thickBot="1" x14ac:dyDescent="0.3">
      <c r="B21" s="96" t="s">
        <v>159</v>
      </c>
      <c r="C21" s="98" t="s">
        <v>160</v>
      </c>
      <c r="D21" s="113"/>
      <c r="E21" s="106">
        <v>-0.92888000000000004</v>
      </c>
      <c r="F21" s="113">
        <v>-0.26780300000000001</v>
      </c>
      <c r="I21" s="137">
        <f t="shared" si="0"/>
        <v>0</v>
      </c>
      <c r="J21" s="106">
        <f t="shared" si="0"/>
        <v>-2.95746306673459</v>
      </c>
      <c r="K21" s="113">
        <f t="shared" si="0"/>
        <v>-0.8353963252955674</v>
      </c>
    </row>
    <row r="22" spans="2:11" ht="16.5" thickTop="1" thickBot="1" x14ac:dyDescent="0.3">
      <c r="B22" s="91" t="s">
        <v>140</v>
      </c>
      <c r="C22" s="91" t="s">
        <v>140</v>
      </c>
      <c r="D22" s="116">
        <f>+D11-D10-D8</f>
        <v>1263.3700000000001</v>
      </c>
      <c r="E22" s="87">
        <f>+E11-E10-E8</f>
        <v>936.13325000000032</v>
      </c>
      <c r="F22" s="116">
        <f>+F11-F10-F8</f>
        <v>2122.8434949999996</v>
      </c>
      <c r="I22" s="116">
        <f t="shared" si="0"/>
        <v>4082.4985458540687</v>
      </c>
      <c r="J22" s="87">
        <f t="shared" si="0"/>
        <v>2980.5567052980141</v>
      </c>
      <c r="K22" s="116">
        <f t="shared" si="0"/>
        <v>6622.090323486289</v>
      </c>
    </row>
    <row r="23" spans="2:11" ht="15.75" thickTop="1" x14ac:dyDescent="0.25">
      <c r="D23" s="126"/>
      <c r="E23" s="108"/>
      <c r="F23" s="126"/>
    </row>
    <row r="24" spans="2:11" x14ac:dyDescent="0.25">
      <c r="D24" s="126"/>
      <c r="E24" s="108"/>
      <c r="F24" s="126"/>
    </row>
    <row r="25" spans="2:11" ht="18.75" x14ac:dyDescent="0.3">
      <c r="I25" s="218" t="s">
        <v>293</v>
      </c>
      <c r="J25" s="218"/>
    </row>
    <row r="26" spans="2:11" x14ac:dyDescent="0.25">
      <c r="H26" t="s">
        <v>323</v>
      </c>
      <c r="I26" s="200">
        <v>308.97000000000003</v>
      </c>
      <c r="J26" s="198">
        <v>323.64999999999998</v>
      </c>
      <c r="K26" s="199"/>
    </row>
    <row r="27" spans="2:11" x14ac:dyDescent="0.25">
      <c r="B27" s="93" t="s">
        <v>166</v>
      </c>
      <c r="C27" s="93" t="s">
        <v>167</v>
      </c>
      <c r="D27" s="103" t="s">
        <v>290</v>
      </c>
      <c r="E27" s="103" t="s">
        <v>291</v>
      </c>
      <c r="F27" s="103" t="s">
        <v>292</v>
      </c>
      <c r="I27" s="3" t="s">
        <v>290</v>
      </c>
      <c r="J27" s="103" t="s">
        <v>291</v>
      </c>
      <c r="K27" s="103" t="s">
        <v>292</v>
      </c>
    </row>
    <row r="28" spans="2:11" x14ac:dyDescent="0.25">
      <c r="B28" s="93"/>
      <c r="C28" s="93"/>
      <c r="D28" s="139" t="s">
        <v>171</v>
      </c>
      <c r="E28" s="139" t="s">
        <v>171</v>
      </c>
      <c r="F28" s="139" t="s">
        <v>171</v>
      </c>
      <c r="I28" s="140" t="s">
        <v>181</v>
      </c>
      <c r="J28" s="103" t="s">
        <v>181</v>
      </c>
      <c r="K28" s="139" t="s">
        <v>181</v>
      </c>
    </row>
    <row r="29" spans="2:11" x14ac:dyDescent="0.25">
      <c r="B29" s="94" t="s">
        <v>98</v>
      </c>
      <c r="C29" s="94" t="s">
        <v>142</v>
      </c>
      <c r="D29" s="111">
        <f>'éves P&amp;L_mérleg'!H68-'féléves P&amp;L_mérleg'!D5</f>
        <v>9754.5142699999997</v>
      </c>
      <c r="E29" s="104">
        <f>'éves P&amp;L_mérleg'!I68-'féléves P&amp;L_mérleg'!E5</f>
        <v>9409.1235209999995</v>
      </c>
      <c r="F29" s="111"/>
      <c r="I29" s="135">
        <f t="shared" ref="I29:I46" si="1">+D29/I$2*1000</f>
        <v>31521.082757060685</v>
      </c>
      <c r="J29" s="104">
        <f t="shared" ref="J29:J46" si="2">+E29/J$2*1000</f>
        <v>29957.728989429444</v>
      </c>
      <c r="K29" s="111">
        <f t="shared" ref="K29:K46" si="3">+F29/K$2*1000</f>
        <v>0</v>
      </c>
    </row>
    <row r="30" spans="2:11" x14ac:dyDescent="0.25">
      <c r="B30" s="95" t="s">
        <v>170</v>
      </c>
      <c r="C30" s="95" t="s">
        <v>143</v>
      </c>
      <c r="D30" s="112">
        <f>'éves P&amp;L_mérleg'!H69-'féléves P&amp;L_mérleg'!D6</f>
        <v>-8055.2179829999995</v>
      </c>
      <c r="E30" s="105">
        <f>'éves P&amp;L_mérleg'!I69-'féléves P&amp;L_mérleg'!E6</f>
        <v>-7050.5744019999993</v>
      </c>
      <c r="F30" s="112"/>
      <c r="I30" s="136">
        <f t="shared" si="1"/>
        <v>-26029.916574032184</v>
      </c>
      <c r="J30" s="105">
        <f t="shared" si="2"/>
        <v>-22448.339282985227</v>
      </c>
      <c r="K30" s="112">
        <f t="shared" si="3"/>
        <v>0</v>
      </c>
    </row>
    <row r="31" spans="2:11" x14ac:dyDescent="0.25">
      <c r="B31" s="96" t="s">
        <v>144</v>
      </c>
      <c r="C31" s="96" t="s">
        <v>145</v>
      </c>
      <c r="D31" s="113">
        <f>'éves P&amp;L_mérleg'!H70-'féléves P&amp;L_mérleg'!D7</f>
        <v>-1046.6405560000001</v>
      </c>
      <c r="E31" s="106">
        <f>'éves P&amp;L_mérleg'!I70-'féléves P&amp;L_mérleg'!E7</f>
        <v>-1261.1346440000002</v>
      </c>
      <c r="F31" s="113"/>
      <c r="I31" s="137">
        <f t="shared" si="1"/>
        <v>-3382.1513475085635</v>
      </c>
      <c r="J31" s="106">
        <f t="shared" si="2"/>
        <v>-4015.3293555781975</v>
      </c>
      <c r="K31" s="113">
        <f t="shared" si="3"/>
        <v>0</v>
      </c>
    </row>
    <row r="32" spans="2:11" x14ac:dyDescent="0.25">
      <c r="B32" s="96" t="s">
        <v>146</v>
      </c>
      <c r="C32" s="96" t="s">
        <v>147</v>
      </c>
      <c r="D32" s="113">
        <f>'éves P&amp;L_mérleg'!H71-'féléves P&amp;L_mérleg'!D8</f>
        <v>-287.41808499999996</v>
      </c>
      <c r="E32" s="106">
        <f>'éves P&amp;L_mérleg'!I71-'féléves P&amp;L_mérleg'!E8</f>
        <v>-393.55976299999998</v>
      </c>
      <c r="F32" s="113"/>
      <c r="I32" s="137">
        <f t="shared" si="1"/>
        <v>-928.77297550571961</v>
      </c>
      <c r="J32" s="106">
        <f t="shared" si="2"/>
        <v>-1253.0557915180843</v>
      </c>
      <c r="K32" s="113">
        <f t="shared" si="3"/>
        <v>0</v>
      </c>
    </row>
    <row r="33" spans="2:11" x14ac:dyDescent="0.25">
      <c r="B33" s="96" t="s">
        <v>108</v>
      </c>
      <c r="C33" s="96" t="s">
        <v>148</v>
      </c>
      <c r="D33" s="113">
        <f>'éves P&amp;L_mérleg'!H72-'féléves P&amp;L_mérleg'!D9</f>
        <v>18.927790000000016</v>
      </c>
      <c r="E33" s="106">
        <f>'éves P&amp;L_mérleg'!I72-'féléves P&amp;L_mérleg'!E9</f>
        <v>-265.50372500000003</v>
      </c>
      <c r="F33" s="113"/>
      <c r="I33" s="137">
        <f t="shared" si="1"/>
        <v>61.163930718025</v>
      </c>
      <c r="J33" s="106">
        <f t="shared" si="2"/>
        <v>-845.33789161996958</v>
      </c>
      <c r="K33" s="113">
        <f t="shared" si="3"/>
        <v>0</v>
      </c>
    </row>
    <row r="34" spans="2:11" x14ac:dyDescent="0.25">
      <c r="B34" s="96" t="s">
        <v>149</v>
      </c>
      <c r="C34" s="96" t="s">
        <v>150</v>
      </c>
      <c r="D34" s="113">
        <f>'éves P&amp;L_mérleg'!H73-'féléves P&amp;L_mérleg'!D10</f>
        <v>-1.35</v>
      </c>
      <c r="E34" s="106">
        <f>'éves P&amp;L_mérleg'!I73-'féléves P&amp;L_mérleg'!E10</f>
        <v>22.455480999999999</v>
      </c>
      <c r="F34" s="113"/>
      <c r="I34" s="137">
        <f t="shared" si="1"/>
        <v>-4.3624377948684812</v>
      </c>
      <c r="J34" s="106">
        <f t="shared" si="2"/>
        <v>71.496055145185935</v>
      </c>
      <c r="K34" s="113">
        <f t="shared" si="3"/>
        <v>0</v>
      </c>
    </row>
    <row r="35" spans="2:11" x14ac:dyDescent="0.25">
      <c r="B35" s="89" t="s">
        <v>151</v>
      </c>
      <c r="C35" s="89" t="s">
        <v>152</v>
      </c>
      <c r="D35" s="114">
        <f>'éves P&amp;L_mérleg'!H74-'féléves P&amp;L_mérleg'!D11</f>
        <v>382.81543600000009</v>
      </c>
      <c r="E35" s="86">
        <f>'éves P&amp;L_mérleg'!I74-'féléves P&amp;L_mérleg'!E11</f>
        <v>460.806468</v>
      </c>
      <c r="F35" s="114"/>
      <c r="I35" s="114">
        <f t="shared" si="1"/>
        <v>1237.0433529373752</v>
      </c>
      <c r="J35" s="86">
        <f t="shared" si="2"/>
        <v>1467.1627228731534</v>
      </c>
      <c r="K35" s="114">
        <f t="shared" si="3"/>
        <v>0</v>
      </c>
    </row>
    <row r="36" spans="2:11" x14ac:dyDescent="0.25">
      <c r="B36" s="96" t="s">
        <v>153</v>
      </c>
      <c r="C36" s="96" t="s">
        <v>154</v>
      </c>
      <c r="D36" s="113">
        <f>'éves P&amp;L_mérleg'!H75-'féléves P&amp;L_mérleg'!D12</f>
        <v>-152.69403100000002</v>
      </c>
      <c r="E36" s="106">
        <f>'éves P&amp;L_mérleg'!I75-'féléves P&amp;L_mérleg'!E12</f>
        <v>-206.37521100000001</v>
      </c>
      <c r="F36" s="113"/>
      <c r="I36" s="137">
        <f t="shared" si="1"/>
        <v>-493.4208976927552</v>
      </c>
      <c r="J36" s="106">
        <f t="shared" si="2"/>
        <v>-657.07848637289862</v>
      </c>
      <c r="K36" s="113">
        <f t="shared" si="3"/>
        <v>0</v>
      </c>
    </row>
    <row r="37" spans="2:11" x14ac:dyDescent="0.25">
      <c r="B37" s="90" t="s">
        <v>120</v>
      </c>
      <c r="C37" s="90" t="s">
        <v>155</v>
      </c>
      <c r="D37" s="114">
        <f>'éves P&amp;L_mérleg'!H76-'féléves P&amp;L_mérleg'!D13</f>
        <v>230.1214050000001</v>
      </c>
      <c r="E37" s="86">
        <f>'éves P&amp;L_mérleg'!I76-'féléves P&amp;L_mérleg'!E13</f>
        <v>254.43125700000007</v>
      </c>
      <c r="F37" s="114"/>
      <c r="I37" s="114">
        <f t="shared" si="1"/>
        <v>743.62245524462003</v>
      </c>
      <c r="J37" s="86">
        <f t="shared" si="2"/>
        <v>810.08423650025497</v>
      </c>
      <c r="K37" s="114">
        <f t="shared" si="3"/>
        <v>0</v>
      </c>
    </row>
    <row r="38" spans="2:11" x14ac:dyDescent="0.25">
      <c r="B38" s="96" t="s">
        <v>122</v>
      </c>
      <c r="C38" s="96" t="s">
        <v>156</v>
      </c>
      <c r="D38" s="113">
        <f>'éves P&amp;L_mérleg'!H77-'féléves P&amp;L_mérleg'!D14</f>
        <v>97.980283999999983</v>
      </c>
      <c r="E38" s="106">
        <f>'éves P&amp;L_mérleg'!I77-'féléves P&amp;L_mérleg'!E14</f>
        <v>-75.239702000000023</v>
      </c>
      <c r="F38" s="113"/>
      <c r="I38" s="137">
        <f t="shared" si="1"/>
        <v>316.6169585729981</v>
      </c>
      <c r="J38" s="106">
        <f t="shared" si="2"/>
        <v>-239.55585201222627</v>
      </c>
      <c r="K38" s="113">
        <f t="shared" si="3"/>
        <v>0</v>
      </c>
    </row>
    <row r="39" spans="2:11" ht="30" x14ac:dyDescent="0.25">
      <c r="B39" s="90" t="s">
        <v>124</v>
      </c>
      <c r="C39" s="90" t="s">
        <v>157</v>
      </c>
      <c r="D39" s="114">
        <f>'éves P&amp;L_mérleg'!H79-'féléves P&amp;L_mérleg'!D15</f>
        <v>328.10168900000008</v>
      </c>
      <c r="E39" s="114">
        <f>'éves P&amp;L_mérleg'!I79-'féléves P&amp;L_mérleg'!E15</f>
        <v>179.19155500000011</v>
      </c>
      <c r="F39" s="114"/>
      <c r="I39" s="114">
        <f t="shared" si="1"/>
        <v>1060.239413817618</v>
      </c>
      <c r="J39" s="86">
        <f t="shared" si="2"/>
        <v>570.52838448802891</v>
      </c>
      <c r="K39" s="114">
        <f t="shared" si="3"/>
        <v>0</v>
      </c>
    </row>
    <row r="40" spans="2:11" ht="30" x14ac:dyDescent="0.25">
      <c r="B40" s="97" t="s">
        <v>126</v>
      </c>
      <c r="C40" s="96" t="s">
        <v>158</v>
      </c>
      <c r="D40" s="113">
        <f>'éves P&amp;L_mérleg'!H80-'féléves P&amp;L_mérleg'!D16</f>
        <v>324.19996700000002</v>
      </c>
      <c r="E40" s="113">
        <f>'éves P&amp;L_mérleg'!I80-'féléves P&amp;L_mérleg'!E16</f>
        <v>159.40167500000001</v>
      </c>
      <c r="F40" s="113"/>
      <c r="I40" s="137">
        <f t="shared" si="1"/>
        <v>1047.6312512117884</v>
      </c>
      <c r="J40" s="106">
        <f t="shared" si="2"/>
        <v>507.5193422058075</v>
      </c>
      <c r="K40" s="113">
        <f t="shared" si="3"/>
        <v>0</v>
      </c>
    </row>
    <row r="41" spans="2:11" ht="30" x14ac:dyDescent="0.25">
      <c r="B41" s="98" t="s">
        <v>159</v>
      </c>
      <c r="C41" s="98" t="s">
        <v>160</v>
      </c>
      <c r="D41" s="115">
        <f>'éves P&amp;L_mérleg'!H81-'féléves P&amp;L_mérleg'!D17</f>
        <v>3.9017220000000004</v>
      </c>
      <c r="E41" s="115">
        <f>'éves P&amp;L_mérleg'!I81-'féléves P&amp;L_mérleg'!E17</f>
        <v>19.78988</v>
      </c>
      <c r="F41" s="115"/>
      <c r="I41" s="138">
        <f t="shared" si="1"/>
        <v>12.608162605829511</v>
      </c>
      <c r="J41" s="107">
        <f t="shared" si="2"/>
        <v>63.009042282221095</v>
      </c>
      <c r="K41" s="115">
        <f t="shared" si="3"/>
        <v>0</v>
      </c>
    </row>
    <row r="42" spans="2:11" ht="15.75" thickBot="1" x14ac:dyDescent="0.3">
      <c r="B42" s="96" t="s">
        <v>161</v>
      </c>
      <c r="C42" s="96" t="s">
        <v>162</v>
      </c>
      <c r="D42" s="113">
        <f>'éves P&amp;L_mérleg'!H82-'féléves P&amp;L_mérleg'!D18</f>
        <v>-479.54411900000002</v>
      </c>
      <c r="E42" s="113">
        <f>'éves P&amp;L_mérleg'!I82-'féléves P&amp;L_mérleg'!E18</f>
        <v>-143.78629799999999</v>
      </c>
      <c r="F42" s="113"/>
      <c r="I42" s="137">
        <f t="shared" si="1"/>
        <v>-1549.6158437277841</v>
      </c>
      <c r="J42" s="106">
        <f t="shared" si="2"/>
        <v>-457.80150916963828</v>
      </c>
      <c r="K42" s="113">
        <f t="shared" si="3"/>
        <v>0</v>
      </c>
    </row>
    <row r="43" spans="2:11" ht="31.5" thickTop="1" thickBot="1" x14ac:dyDescent="0.3">
      <c r="B43" s="91" t="s">
        <v>133</v>
      </c>
      <c r="C43" s="91" t="s">
        <v>163</v>
      </c>
      <c r="D43" s="116">
        <f>'éves P&amp;L_mérleg'!H83-'féléves P&amp;L_mérleg'!D19</f>
        <v>-151.44242999999994</v>
      </c>
      <c r="E43" s="116">
        <f>'éves P&amp;L_mérleg'!I83-'féléves P&amp;L_mérleg'!E19</f>
        <v>35.40525700000012</v>
      </c>
      <c r="F43" s="116"/>
      <c r="I43" s="116">
        <f t="shared" si="1"/>
        <v>-489.37642991016594</v>
      </c>
      <c r="J43" s="87">
        <f t="shared" si="2"/>
        <v>112.72687531839061</v>
      </c>
      <c r="K43" s="116">
        <f t="shared" si="3"/>
        <v>0</v>
      </c>
    </row>
    <row r="44" spans="2:11" ht="30.75" thickTop="1" x14ac:dyDescent="0.25">
      <c r="B44" s="96" t="s">
        <v>126</v>
      </c>
      <c r="C44" s="96" t="s">
        <v>158</v>
      </c>
      <c r="D44" s="113">
        <f>'éves P&amp;L_mérleg'!H84-'féléves P&amp;L_mérleg'!D20</f>
        <v>432.98184800000001</v>
      </c>
      <c r="E44" s="113">
        <f>'éves P&amp;L_mérleg'!I84-'féléves P&amp;L_mérleg'!E20</f>
        <v>15.615377000000024</v>
      </c>
      <c r="F44" s="113"/>
      <c r="I44" s="137">
        <f t="shared" si="1"/>
        <v>1399.1528727460741</v>
      </c>
      <c r="J44" s="106">
        <f t="shared" si="2"/>
        <v>49.71783303616921</v>
      </c>
      <c r="K44" s="113">
        <f t="shared" si="3"/>
        <v>0</v>
      </c>
    </row>
    <row r="45" spans="2:11" ht="30.75" thickBot="1" x14ac:dyDescent="0.3">
      <c r="B45" s="96" t="s">
        <v>159</v>
      </c>
      <c r="C45" s="98" t="s">
        <v>160</v>
      </c>
      <c r="D45" s="113">
        <f>'éves P&amp;L_mérleg'!H85-'féléves P&amp;L_mérleg'!D21</f>
        <v>2.428722</v>
      </c>
      <c r="E45" s="113">
        <f>'éves P&amp;L_mérleg'!I85-'féléves P&amp;L_mérleg'!E21</f>
        <v>19.78988</v>
      </c>
      <c r="F45" s="113"/>
      <c r="I45" s="137">
        <f t="shared" si="1"/>
        <v>7.8482582563174574</v>
      </c>
      <c r="J45" s="106">
        <f t="shared" si="2"/>
        <v>63.009042282221095</v>
      </c>
      <c r="K45" s="113">
        <f t="shared" si="3"/>
        <v>0</v>
      </c>
    </row>
    <row r="46" spans="2:11" ht="16.5" thickTop="1" thickBot="1" x14ac:dyDescent="0.3">
      <c r="B46" s="91" t="s">
        <v>140</v>
      </c>
      <c r="C46" s="91" t="s">
        <v>140</v>
      </c>
      <c r="D46" s="116">
        <f>'éves P&amp;L_mérleg'!H86-'féléves P&amp;L_mérleg'!D22</f>
        <v>671.58352099999979</v>
      </c>
      <c r="E46" s="87">
        <f>'éves P&amp;L_mérleg'!I86-'féléves P&amp;L_mérleg'!E22</f>
        <v>864.43374999999969</v>
      </c>
      <c r="F46" s="116"/>
      <c r="I46" s="116">
        <f t="shared" si="1"/>
        <v>2170.1787662379625</v>
      </c>
      <c r="J46" s="87">
        <f t="shared" si="2"/>
        <v>2752.2725101884862</v>
      </c>
      <c r="K46" s="116">
        <f t="shared" si="3"/>
        <v>0</v>
      </c>
    </row>
    <row r="47" spans="2:11" ht="15.75" thickTop="1" x14ac:dyDescent="0.25">
      <c r="B47" s="151"/>
      <c r="C47" s="151"/>
      <c r="D47" s="155"/>
      <c r="E47" s="155"/>
      <c r="F47" s="155"/>
      <c r="G47" s="156"/>
      <c r="H47" s="156"/>
      <c r="I47" s="157"/>
      <c r="J47" s="157"/>
      <c r="K47" s="157"/>
    </row>
    <row r="48" spans="2:11" ht="18.75" x14ac:dyDescent="0.3">
      <c r="D48" s="126">
        <v>1000</v>
      </c>
      <c r="E48" s="108"/>
      <c r="F48" s="126"/>
      <c r="I48" s="218" t="s">
        <v>293</v>
      </c>
      <c r="J48" s="218"/>
    </row>
    <row r="49" spans="1:11" x14ac:dyDescent="0.25">
      <c r="D49" s="126"/>
      <c r="E49" s="108"/>
      <c r="F49" s="126"/>
      <c r="H49" t="s">
        <v>182</v>
      </c>
      <c r="I49" s="108">
        <v>308.87</v>
      </c>
      <c r="J49" s="108">
        <v>328.6</v>
      </c>
      <c r="K49" s="108">
        <v>322.76</v>
      </c>
    </row>
    <row r="50" spans="1:11" x14ac:dyDescent="0.25">
      <c r="A50" s="1" t="s">
        <v>0</v>
      </c>
      <c r="B50" s="163"/>
      <c r="C50" s="163" t="s">
        <v>1</v>
      </c>
      <c r="D50" s="141">
        <v>42916</v>
      </c>
      <c r="E50" s="141">
        <v>43281</v>
      </c>
      <c r="F50" s="141">
        <v>43646</v>
      </c>
      <c r="G50" s="142"/>
      <c r="H50" s="142"/>
      <c r="I50" s="143">
        <v>42916</v>
      </c>
      <c r="J50" s="141">
        <v>43281</v>
      </c>
      <c r="K50" s="143">
        <v>43646</v>
      </c>
    </row>
    <row r="51" spans="1:11" ht="15" customHeight="1" thickBot="1" x14ac:dyDescent="0.3">
      <c r="B51" s="163" t="s">
        <v>93</v>
      </c>
      <c r="C51" s="164" t="s">
        <v>167</v>
      </c>
      <c r="D51" s="139" t="s">
        <v>171</v>
      </c>
      <c r="E51" s="139" t="s">
        <v>171</v>
      </c>
      <c r="F51" s="139" t="s">
        <v>171</v>
      </c>
      <c r="I51" s="140" t="s">
        <v>171</v>
      </c>
      <c r="J51" s="103" t="s">
        <v>171</v>
      </c>
      <c r="K51" s="103" t="s">
        <v>171</v>
      </c>
    </row>
    <row r="52" spans="1:11" ht="15.75" thickBot="1" x14ac:dyDescent="0.3">
      <c r="B52" s="100" t="s">
        <v>4</v>
      </c>
      <c r="C52" s="100" t="s">
        <v>5</v>
      </c>
      <c r="D52" s="118">
        <f>SUM(D53:D64)</f>
        <v>6414.7109999999993</v>
      </c>
      <c r="E52" s="127">
        <f>SUM(E53:E64)</f>
        <v>8980.4130000000005</v>
      </c>
      <c r="F52" s="118">
        <f>SUM(F53:F64)</f>
        <v>24087.058890999997</v>
      </c>
      <c r="G52" s="145"/>
      <c r="H52" s="145"/>
      <c r="I52" s="118">
        <f t="shared" ref="I52:K52" si="4">SUM(I53:I64)</f>
        <v>19521.335970785156</v>
      </c>
      <c r="J52" s="127">
        <f t="shared" si="4"/>
        <v>29075.057467542982</v>
      </c>
      <c r="K52" s="118">
        <f t="shared" si="4"/>
        <v>74628.38917771721</v>
      </c>
    </row>
    <row r="53" spans="1:11" ht="30" x14ac:dyDescent="0.25">
      <c r="B53" s="99" t="s">
        <v>6</v>
      </c>
      <c r="C53" s="99" t="s">
        <v>289</v>
      </c>
      <c r="D53" s="119">
        <v>4931.8789999999999</v>
      </c>
      <c r="E53" s="128">
        <v>6213.2340000000004</v>
      </c>
      <c r="F53" s="119">
        <v>16693.211686999999</v>
      </c>
      <c r="G53" s="145"/>
      <c r="H53" s="145"/>
      <c r="I53" s="119">
        <f t="shared" ref="I53:I58" si="5">+D53/J$49*1000</f>
        <v>15008.761412051126</v>
      </c>
      <c r="J53" s="128">
        <f t="shared" ref="J53:J58" si="6">+E53/I$49*1000</f>
        <v>20116.016447048922</v>
      </c>
      <c r="K53" s="119">
        <f t="shared" ref="K53:K63" si="7">F53/$K$49*1000</f>
        <v>51720.199798611975</v>
      </c>
    </row>
    <row r="54" spans="1:11" ht="16.149999999999999" customHeight="1" x14ac:dyDescent="0.25">
      <c r="B54" s="99" t="s">
        <v>8</v>
      </c>
      <c r="C54" s="99" t="s">
        <v>9</v>
      </c>
      <c r="D54" s="119">
        <v>32.802</v>
      </c>
      <c r="E54" s="128">
        <v>45.884</v>
      </c>
      <c r="F54" s="119">
        <v>42.802802999999997</v>
      </c>
      <c r="G54" s="145"/>
      <c r="H54" s="145"/>
      <c r="I54" s="119">
        <f t="shared" si="5"/>
        <v>99.823493609251358</v>
      </c>
      <c r="J54" s="128">
        <f t="shared" si="6"/>
        <v>148.55440800336712</v>
      </c>
      <c r="K54" s="119">
        <f t="shared" si="7"/>
        <v>132.61495538480605</v>
      </c>
    </row>
    <row r="55" spans="1:11" x14ac:dyDescent="0.25">
      <c r="B55" s="99" t="s">
        <v>10</v>
      </c>
      <c r="C55" s="99" t="s">
        <v>11</v>
      </c>
      <c r="D55" s="119">
        <v>586.62</v>
      </c>
      <c r="E55" s="128">
        <v>251.33500000000001</v>
      </c>
      <c r="F55" s="119">
        <v>254.418553</v>
      </c>
      <c r="G55" s="145"/>
      <c r="H55" s="145"/>
      <c r="I55" s="119">
        <f t="shared" si="5"/>
        <v>1785.2099817407181</v>
      </c>
      <c r="J55" s="128">
        <f t="shared" si="6"/>
        <v>813.7242205458607</v>
      </c>
      <c r="K55" s="119">
        <f t="shared" si="7"/>
        <v>788.25924216135832</v>
      </c>
    </row>
    <row r="56" spans="1:11" x14ac:dyDescent="0.25">
      <c r="B56" s="99" t="s">
        <v>13</v>
      </c>
      <c r="C56" s="99" t="s">
        <v>14</v>
      </c>
      <c r="D56" s="119">
        <v>54.981000000000002</v>
      </c>
      <c r="E56" s="128">
        <v>4.0190000000000001</v>
      </c>
      <c r="F56" s="119">
        <v>16.534867999999999</v>
      </c>
      <c r="G56" s="145"/>
      <c r="H56" s="145"/>
      <c r="I56" s="119">
        <f t="shared" si="5"/>
        <v>167.31892878880097</v>
      </c>
      <c r="J56" s="128">
        <f t="shared" si="6"/>
        <v>13.011946773723572</v>
      </c>
      <c r="K56" s="119">
        <f t="shared" si="7"/>
        <v>51.229607138431035</v>
      </c>
    </row>
    <row r="57" spans="1:11" x14ac:dyDescent="0.25">
      <c r="B57" s="99" t="s">
        <v>15</v>
      </c>
      <c r="C57" s="99" t="s">
        <v>16</v>
      </c>
      <c r="D57" s="119">
        <v>212.035</v>
      </c>
      <c r="E57" s="128">
        <v>581.45799999999997</v>
      </c>
      <c r="F57" s="119">
        <v>4641.5200830000003</v>
      </c>
      <c r="G57" s="145"/>
      <c r="H57" s="145"/>
      <c r="I57" s="119">
        <f t="shared" si="5"/>
        <v>645.26780279975651</v>
      </c>
      <c r="J57" s="128">
        <f t="shared" si="6"/>
        <v>1882.5331045423638</v>
      </c>
      <c r="K57" s="119">
        <f t="shared" si="7"/>
        <v>14380.716578882144</v>
      </c>
    </row>
    <row r="58" spans="1:11" x14ac:dyDescent="0.25">
      <c r="B58" s="99" t="s">
        <v>17</v>
      </c>
      <c r="C58" s="99" t="s">
        <v>18</v>
      </c>
      <c r="D58" s="119">
        <v>321.904</v>
      </c>
      <c r="E58" s="128">
        <v>1411.4659999999999</v>
      </c>
      <c r="F58" s="119">
        <v>1428.56431</v>
      </c>
      <c r="G58" s="145"/>
      <c r="H58" s="145"/>
      <c r="I58" s="119">
        <f t="shared" si="5"/>
        <v>979.62264150943395</v>
      </c>
      <c r="J58" s="128">
        <f t="shared" si="6"/>
        <v>4569.7736911969432</v>
      </c>
      <c r="K58" s="119">
        <f t="shared" si="7"/>
        <v>4426.0884558185653</v>
      </c>
    </row>
    <row r="59" spans="1:11" x14ac:dyDescent="0.25">
      <c r="B59" s="99" t="s">
        <v>287</v>
      </c>
      <c r="C59" s="99" t="s">
        <v>311</v>
      </c>
      <c r="D59" s="119"/>
      <c r="E59" s="128"/>
      <c r="F59" s="119">
        <v>630.11357999999996</v>
      </c>
      <c r="G59" s="145"/>
      <c r="H59" s="145"/>
      <c r="I59" s="119"/>
      <c r="J59" s="128"/>
      <c r="K59" s="119">
        <f t="shared" si="7"/>
        <v>1952.2666377494113</v>
      </c>
    </row>
    <row r="60" spans="1:11" x14ac:dyDescent="0.25">
      <c r="B60" s="99" t="s">
        <v>19</v>
      </c>
      <c r="C60" s="167" t="s">
        <v>19</v>
      </c>
      <c r="D60" s="119"/>
      <c r="E60" s="128"/>
      <c r="F60" s="119"/>
      <c r="G60" s="145"/>
      <c r="H60" s="145"/>
      <c r="I60" s="119"/>
      <c r="J60" s="128"/>
      <c r="K60" s="119"/>
    </row>
    <row r="61" spans="1:11" x14ac:dyDescent="0.25">
      <c r="B61" s="99" t="s">
        <v>21</v>
      </c>
      <c r="C61" s="167" t="s">
        <v>22</v>
      </c>
      <c r="D61" s="119">
        <v>60.573999999999998</v>
      </c>
      <c r="E61" s="128">
        <v>285.91199999999998</v>
      </c>
      <c r="F61" s="119">
        <v>179.63820100000001</v>
      </c>
      <c r="G61" s="145"/>
      <c r="H61" s="145"/>
      <c r="I61" s="119">
        <f>+D61/J$49*1000</f>
        <v>184.33962264150941</v>
      </c>
      <c r="J61" s="128">
        <f>+E61/I$49*1000</f>
        <v>925.67099426943366</v>
      </c>
      <c r="K61" s="119">
        <f t="shared" si="7"/>
        <v>556.56897075226175</v>
      </c>
    </row>
    <row r="62" spans="1:11" x14ac:dyDescent="0.25">
      <c r="B62" s="99" t="s">
        <v>172</v>
      </c>
      <c r="C62" s="167" t="s">
        <v>24</v>
      </c>
      <c r="D62" s="119">
        <v>213.816</v>
      </c>
      <c r="E62" s="128">
        <v>187.005</v>
      </c>
      <c r="F62" s="119">
        <v>200.15480600000001</v>
      </c>
      <c r="G62" s="145"/>
      <c r="H62" s="145"/>
      <c r="I62" s="119">
        <f>+D62/J$49*1000</f>
        <v>650.68776628119281</v>
      </c>
      <c r="J62" s="128">
        <f>+E62/I$49*1000</f>
        <v>605.44889435684911</v>
      </c>
      <c r="K62" s="119">
        <f t="shared" si="7"/>
        <v>620.13510348246382</v>
      </c>
    </row>
    <row r="63" spans="1:11" ht="30" x14ac:dyDescent="0.25">
      <c r="B63" s="99" t="s">
        <v>173</v>
      </c>
      <c r="C63" s="167" t="s">
        <v>307</v>
      </c>
      <c r="D63" s="119">
        <v>0.1</v>
      </c>
      <c r="E63" s="128">
        <v>0.1</v>
      </c>
      <c r="F63" s="119">
        <v>0.1</v>
      </c>
      <c r="G63" s="145"/>
      <c r="H63" s="145"/>
      <c r="I63" s="119">
        <f>+D63/J$49*1000</f>
        <v>0.30432136335970783</v>
      </c>
      <c r="J63" s="128">
        <f>+E63/I$49*1000</f>
        <v>0.32376080551688413</v>
      </c>
      <c r="K63" s="119">
        <f t="shared" si="7"/>
        <v>0.30982773577890699</v>
      </c>
    </row>
    <row r="64" spans="1:11" ht="15.75" thickBot="1" x14ac:dyDescent="0.3">
      <c r="B64" s="99"/>
      <c r="C64" s="99"/>
      <c r="D64" s="120"/>
      <c r="E64" s="129"/>
      <c r="F64" s="120"/>
      <c r="G64" s="145"/>
      <c r="H64" s="145"/>
      <c r="I64" s="120"/>
      <c r="J64" s="129"/>
      <c r="K64" s="120"/>
    </row>
    <row r="65" spans="2:11" ht="30.75" thickBot="1" x14ac:dyDescent="0.3">
      <c r="B65" s="100" t="s">
        <v>174</v>
      </c>
      <c r="C65" s="100" t="s">
        <v>27</v>
      </c>
      <c r="D65" s="121">
        <f>SUM(D66:D74)</f>
        <v>8405.1329999999998</v>
      </c>
      <c r="E65" s="130">
        <f>SUM(E66:E74)</f>
        <v>6946.6080000000002</v>
      </c>
      <c r="F65" s="121">
        <f>SUM(F66:F74)</f>
        <v>9124.4046550000003</v>
      </c>
      <c r="G65" s="109">
        <f t="shared" ref="G65:K65" si="8">SUM(G66:G74)</f>
        <v>0</v>
      </c>
      <c r="H65" s="109">
        <f t="shared" si="8"/>
        <v>0</v>
      </c>
      <c r="I65" s="121">
        <f t="shared" si="8"/>
        <v>25578.615337796709</v>
      </c>
      <c r="J65" s="130">
        <f t="shared" si="8"/>
        <v>22490.394016900314</v>
      </c>
      <c r="K65" s="121">
        <f t="shared" si="8"/>
        <v>28269.936345891681</v>
      </c>
    </row>
    <row r="66" spans="2:11" x14ac:dyDescent="0.25">
      <c r="B66" s="99" t="s">
        <v>28</v>
      </c>
      <c r="C66" s="99" t="s">
        <v>29</v>
      </c>
      <c r="D66" s="122">
        <v>145.86500000000001</v>
      </c>
      <c r="E66" s="131">
        <v>145.27099999999999</v>
      </c>
      <c r="F66" s="122">
        <v>298.42093699999998</v>
      </c>
      <c r="G66" s="145"/>
      <c r="H66" s="145"/>
      <c r="I66" s="122">
        <f t="shared" ref="I66:I72" si="9">+D66/J$49*1000</f>
        <v>443.89835666463784</v>
      </c>
      <c r="J66" s="131">
        <f t="shared" ref="J66:J72" si="10">+E66/I$49*1000</f>
        <v>470.33055978243272</v>
      </c>
      <c r="K66" s="122">
        <f>F66/$K$49*1000</f>
        <v>924.59083219729837</v>
      </c>
    </row>
    <row r="67" spans="2:11" x14ac:dyDescent="0.25">
      <c r="B67" s="99" t="s">
        <v>30</v>
      </c>
      <c r="C67" s="99" t="s">
        <v>31</v>
      </c>
      <c r="D67" s="122">
        <v>3302.2649999999999</v>
      </c>
      <c r="E67" s="131">
        <v>1622.2080000000001</v>
      </c>
      <c r="F67" s="122">
        <v>2500.9883030000001</v>
      </c>
      <c r="G67" s="145"/>
      <c r="H67" s="145"/>
      <c r="I67" s="122">
        <f t="shared" si="9"/>
        <v>10049.497869750456</v>
      </c>
      <c r="J67" s="131">
        <f t="shared" si="10"/>
        <v>5252.073687959336</v>
      </c>
      <c r="K67" s="122">
        <f t="shared" ref="K67:K74" si="11">F67/$K$49*1000</f>
        <v>7748.7554312802085</v>
      </c>
    </row>
    <row r="68" spans="2:11" x14ac:dyDescent="0.25">
      <c r="B68" s="99" t="s">
        <v>32</v>
      </c>
      <c r="C68" s="99" t="s">
        <v>33</v>
      </c>
      <c r="D68" s="122">
        <v>830.59500000000003</v>
      </c>
      <c r="E68" s="131">
        <v>860.39099999999996</v>
      </c>
      <c r="F68" s="122">
        <v>312.42079699999999</v>
      </c>
      <c r="G68" s="145"/>
      <c r="H68" s="145"/>
      <c r="I68" s="122">
        <f t="shared" si="9"/>
        <v>2527.6780279975656</v>
      </c>
      <c r="J68" s="131">
        <f t="shared" si="10"/>
        <v>2785.6088321947741</v>
      </c>
      <c r="K68" s="122">
        <f t="shared" si="11"/>
        <v>967.96628144751514</v>
      </c>
    </row>
    <row r="69" spans="2:11" x14ac:dyDescent="0.25">
      <c r="B69" s="99" t="s">
        <v>314</v>
      </c>
      <c r="C69" s="167" t="s">
        <v>306</v>
      </c>
      <c r="D69" s="122">
        <v>461.67399999999998</v>
      </c>
      <c r="E69" s="131">
        <v>494.86399999999998</v>
      </c>
      <c r="F69" s="122">
        <v>314.78907600000002</v>
      </c>
      <c r="G69" s="145"/>
      <c r="H69" s="145"/>
      <c r="I69" s="122">
        <f t="shared" si="9"/>
        <v>1404.9726110772976</v>
      </c>
      <c r="J69" s="131">
        <f t="shared" si="10"/>
        <v>1602.1756726130734</v>
      </c>
      <c r="K69" s="122">
        <f t="shared" si="11"/>
        <v>975.3038666501426</v>
      </c>
    </row>
    <row r="70" spans="2:11" ht="30" x14ac:dyDescent="0.25">
      <c r="B70" s="99" t="s">
        <v>34</v>
      </c>
      <c r="C70" s="99" t="s">
        <v>35</v>
      </c>
      <c r="D70" s="122">
        <v>985.30899999999997</v>
      </c>
      <c r="E70" s="131">
        <v>2323.9029999999998</v>
      </c>
      <c r="F70" s="122">
        <v>2158.7542800000001</v>
      </c>
      <c r="G70" s="145"/>
      <c r="H70" s="145"/>
      <c r="I70" s="122">
        <f t="shared" si="9"/>
        <v>2998.5057821059036</v>
      </c>
      <c r="J70" s="131">
        <f t="shared" si="10"/>
        <v>7523.8870722310348</v>
      </c>
      <c r="K70" s="122">
        <f t="shared" si="11"/>
        <v>6688.419506754245</v>
      </c>
    </row>
    <row r="71" spans="2:11" x14ac:dyDescent="0.25">
      <c r="B71" s="99" t="s">
        <v>36</v>
      </c>
      <c r="C71" s="99" t="s">
        <v>37</v>
      </c>
      <c r="D71" s="122">
        <v>35.066000000000003</v>
      </c>
      <c r="E71" s="131">
        <v>121.90600000000001</v>
      </c>
      <c r="F71" s="122">
        <v>145.46445499999999</v>
      </c>
      <c r="G71" s="145"/>
      <c r="H71" s="145"/>
      <c r="I71" s="122">
        <f t="shared" si="9"/>
        <v>106.71332927571515</v>
      </c>
      <c r="J71" s="131">
        <f t="shared" si="10"/>
        <v>394.68384757341278</v>
      </c>
      <c r="K71" s="122">
        <f t="shared" si="11"/>
        <v>450.68922728962696</v>
      </c>
    </row>
    <row r="72" spans="2:11" x14ac:dyDescent="0.25">
      <c r="B72" s="99" t="s">
        <v>38</v>
      </c>
      <c r="C72" s="99" t="s">
        <v>39</v>
      </c>
      <c r="D72" s="122">
        <v>2644.3589999999999</v>
      </c>
      <c r="E72" s="131">
        <v>1343.0650000000001</v>
      </c>
      <c r="F72" s="122">
        <v>2332.1740089999998</v>
      </c>
      <c r="G72" s="145"/>
      <c r="H72" s="145"/>
      <c r="I72" s="122">
        <f t="shared" si="9"/>
        <v>8047.3493609251354</v>
      </c>
      <c r="J72" s="131">
        <f t="shared" si="10"/>
        <v>4348.3180626153398</v>
      </c>
      <c r="K72" s="122">
        <f t="shared" si="11"/>
        <v>7225.7219265088606</v>
      </c>
    </row>
    <row r="73" spans="2:11" x14ac:dyDescent="0.25">
      <c r="B73" s="99" t="s">
        <v>286</v>
      </c>
      <c r="C73" s="167" t="s">
        <v>310</v>
      </c>
      <c r="D73" s="122"/>
      <c r="E73" s="131"/>
      <c r="F73" s="122">
        <v>1056.3927980000001</v>
      </c>
      <c r="G73" s="145"/>
      <c r="H73" s="145"/>
      <c r="I73" s="122"/>
      <c r="J73" s="131"/>
      <c r="K73" s="122">
        <f t="shared" si="11"/>
        <v>3272.997886974842</v>
      </c>
    </row>
    <row r="74" spans="2:11" x14ac:dyDescent="0.25">
      <c r="B74" s="99" t="s">
        <v>40</v>
      </c>
      <c r="C74" s="99" t="s">
        <v>41</v>
      </c>
      <c r="D74" s="122" t="s">
        <v>12</v>
      </c>
      <c r="E74" s="131">
        <v>35</v>
      </c>
      <c r="F74" s="122">
        <v>5</v>
      </c>
      <c r="G74" s="145"/>
      <c r="H74" s="145"/>
      <c r="I74" s="122">
        <f>IFERROR(D74/J$49*1000,0)</f>
        <v>0</v>
      </c>
      <c r="J74" s="131">
        <f>+E74/I$49*1000</f>
        <v>113.31628193090944</v>
      </c>
      <c r="K74" s="122">
        <f t="shared" si="11"/>
        <v>15.491386788945348</v>
      </c>
    </row>
    <row r="75" spans="2:11" ht="15.75" thickBot="1" x14ac:dyDescent="0.3">
      <c r="B75" s="99"/>
      <c r="C75" s="99"/>
      <c r="D75" s="120"/>
      <c r="E75" s="129"/>
      <c r="F75" s="120"/>
      <c r="G75" s="145"/>
      <c r="H75" s="145"/>
      <c r="I75" s="120"/>
      <c r="J75" s="129"/>
      <c r="K75" s="120"/>
    </row>
    <row r="76" spans="2:11" ht="16.5" thickTop="1" thickBot="1" x14ac:dyDescent="0.3">
      <c r="B76" s="101" t="s">
        <v>42</v>
      </c>
      <c r="C76" s="101" t="s">
        <v>43</v>
      </c>
      <c r="D76" s="123">
        <f t="shared" ref="D76:K76" si="12">+D65+D52</f>
        <v>14819.843999999999</v>
      </c>
      <c r="E76" s="132">
        <f t="shared" si="12"/>
        <v>15927.021000000001</v>
      </c>
      <c r="F76" s="123">
        <f t="shared" si="12"/>
        <v>33211.463545999999</v>
      </c>
      <c r="G76" s="110">
        <f t="shared" si="12"/>
        <v>0</v>
      </c>
      <c r="H76" s="110">
        <f t="shared" si="12"/>
        <v>0</v>
      </c>
      <c r="I76" s="123">
        <f t="shared" si="12"/>
        <v>45099.951308581862</v>
      </c>
      <c r="J76" s="132">
        <f t="shared" si="12"/>
        <v>51565.4514844433</v>
      </c>
      <c r="K76" s="123">
        <f t="shared" si="12"/>
        <v>102898.32552360889</v>
      </c>
    </row>
    <row r="77" spans="2:11" ht="15.75" thickTop="1" x14ac:dyDescent="0.25">
      <c r="D77" s="117"/>
      <c r="E77" s="126"/>
      <c r="F77" s="146"/>
      <c r="G77" s="145"/>
      <c r="H77" s="145"/>
      <c r="I77" s="147"/>
      <c r="J77" s="147"/>
      <c r="K77" s="147"/>
    </row>
    <row r="78" spans="2:11" ht="18.75" x14ac:dyDescent="0.3">
      <c r="D78" s="117"/>
      <c r="E78" s="126"/>
      <c r="F78" s="146"/>
      <c r="G78" s="145"/>
      <c r="I78" s="218" t="s">
        <v>293</v>
      </c>
      <c r="J78" s="218"/>
    </row>
    <row r="79" spans="2:11" x14ac:dyDescent="0.25">
      <c r="D79" s="117"/>
      <c r="E79" s="126"/>
      <c r="F79" s="146"/>
      <c r="G79" s="145"/>
      <c r="H79" t="s">
        <v>182</v>
      </c>
      <c r="I79" s="108">
        <v>308.87</v>
      </c>
      <c r="J79" s="108">
        <v>328.6</v>
      </c>
      <c r="K79" s="108">
        <v>322.76</v>
      </c>
    </row>
    <row r="80" spans="2:11" x14ac:dyDescent="0.25">
      <c r="B80" s="163"/>
      <c r="C80" s="163" t="s">
        <v>1</v>
      </c>
      <c r="D80" s="148">
        <v>42916</v>
      </c>
      <c r="E80" s="148">
        <v>43281</v>
      </c>
      <c r="F80" s="148">
        <v>43646</v>
      </c>
      <c r="G80" s="149"/>
      <c r="H80" s="149"/>
      <c r="I80" s="148">
        <v>42916</v>
      </c>
      <c r="J80" s="148">
        <v>43281</v>
      </c>
      <c r="K80" s="148">
        <v>43646</v>
      </c>
    </row>
    <row r="81" spans="2:11" ht="15" customHeight="1" thickBot="1" x14ac:dyDescent="0.3">
      <c r="B81" s="163" t="s">
        <v>93</v>
      </c>
      <c r="C81" s="164" t="s">
        <v>167</v>
      </c>
      <c r="D81" s="150" t="s">
        <v>171</v>
      </c>
      <c r="E81" s="150" t="s">
        <v>171</v>
      </c>
      <c r="F81" s="150" t="s">
        <v>171</v>
      </c>
      <c r="G81" s="88"/>
      <c r="H81" s="88"/>
      <c r="I81" s="150" t="s">
        <v>171</v>
      </c>
      <c r="J81" s="150" t="s">
        <v>171</v>
      </c>
      <c r="K81" s="150" t="s">
        <v>171</v>
      </c>
    </row>
    <row r="82" spans="2:11" ht="15.75" thickBot="1" x14ac:dyDescent="0.3">
      <c r="B82" s="100" t="s">
        <v>44</v>
      </c>
      <c r="C82" s="100" t="s">
        <v>45</v>
      </c>
      <c r="D82" s="121">
        <f>+D83+D92</f>
        <v>4668.9340000000002</v>
      </c>
      <c r="E82" s="130">
        <f>+E83+E92</f>
        <v>5104.4380000000001</v>
      </c>
      <c r="F82" s="121">
        <f>+F83+F92</f>
        <v>6310.1572749999987</v>
      </c>
      <c r="G82" s="145"/>
      <c r="H82" s="145"/>
      <c r="I82" s="121">
        <f>+I83+I92</f>
        <v>14208.563603164943</v>
      </c>
      <c r="J82" s="130">
        <f>+J83+J92</f>
        <v>16526.169585909931</v>
      </c>
      <c r="K82" s="121">
        <f>+K83+K92</f>
        <v>19550.617409220471</v>
      </c>
    </row>
    <row r="83" spans="2:11" ht="16.149999999999999" customHeight="1" x14ac:dyDescent="0.25">
      <c r="B83" s="102" t="s">
        <v>175</v>
      </c>
      <c r="C83" s="102" t="s">
        <v>47</v>
      </c>
      <c r="D83" s="124">
        <f>SUM(D84:D90)</f>
        <v>4698.5380000000005</v>
      </c>
      <c r="E83" s="133">
        <f>SUM(E84:E90)</f>
        <v>5131.0680000000002</v>
      </c>
      <c r="F83" s="124">
        <f>SUM(F84:F90)</f>
        <v>6317.2654119999988</v>
      </c>
      <c r="G83" s="145"/>
      <c r="H83" s="145"/>
      <c r="I83" s="124">
        <f>SUM(I84:I90)</f>
        <v>14298.65489957395</v>
      </c>
      <c r="J83" s="133">
        <f>SUM(J84:J90)</f>
        <v>16612.387088419076</v>
      </c>
      <c r="K83" s="124">
        <f>SUM(K84:K90)</f>
        <v>19572.640389143635</v>
      </c>
    </row>
    <row r="84" spans="2:11" x14ac:dyDescent="0.25">
      <c r="B84" s="99" t="s">
        <v>48</v>
      </c>
      <c r="C84" s="99" t="s">
        <v>49</v>
      </c>
      <c r="D84" s="119">
        <v>195.39</v>
      </c>
      <c r="E84" s="128">
        <v>195.39</v>
      </c>
      <c r="F84" s="119">
        <v>232.78190000000001</v>
      </c>
      <c r="G84" s="145"/>
      <c r="H84" s="145"/>
      <c r="I84" s="119">
        <f>+D84/J$49*1000</f>
        <v>594.61351186853301</v>
      </c>
      <c r="J84" s="128">
        <f t="shared" ref="J84:J90" si="13">+E84/I$49*1000</f>
        <v>632.59623789943987</v>
      </c>
      <c r="K84" s="119">
        <f>F84/$K$49*1000</f>
        <v>721.2228900731194</v>
      </c>
    </row>
    <row r="85" spans="2:11" x14ac:dyDescent="0.25">
      <c r="B85" s="99" t="s">
        <v>305</v>
      </c>
      <c r="C85" s="99" t="s">
        <v>50</v>
      </c>
      <c r="D85" s="119">
        <v>3080.8380000000002</v>
      </c>
      <c r="E85" s="128">
        <v>3080.8380000000002</v>
      </c>
      <c r="F85" s="119">
        <v>5042.9831169999998</v>
      </c>
      <c r="G85" s="145"/>
      <c r="H85" s="145"/>
      <c r="I85" s="122">
        <f>IFERROR(D85/J$49*1000,0)</f>
        <v>9375.6482045039575</v>
      </c>
      <c r="J85" s="128">
        <f t="shared" si="13"/>
        <v>9974.5459254702637</v>
      </c>
      <c r="K85" s="119">
        <f t="shared" ref="K85:K92" si="14">F85/$K$49*1000</f>
        <v>15624.560407113644</v>
      </c>
    </row>
    <row r="86" spans="2:11" x14ac:dyDescent="0.25">
      <c r="B86" s="99" t="s">
        <v>51</v>
      </c>
      <c r="C86" s="99" t="s">
        <v>52</v>
      </c>
      <c r="D86" s="119">
        <v>73.165999999999997</v>
      </c>
      <c r="E86" s="128">
        <v>83.74</v>
      </c>
      <c r="F86" s="119">
        <v>92.690111000000002</v>
      </c>
      <c r="G86" s="145"/>
      <c r="H86" s="145"/>
      <c r="I86" s="119">
        <f>+D86/J$49*1000</f>
        <v>222.65976871576382</v>
      </c>
      <c r="J86" s="128">
        <f t="shared" si="13"/>
        <v>271.11729853983871</v>
      </c>
      <c r="K86" s="119">
        <f t="shared" si="14"/>
        <v>287.17967220225552</v>
      </c>
    </row>
    <row r="87" spans="2:11" x14ac:dyDescent="0.25">
      <c r="B87" s="99" t="s">
        <v>53</v>
      </c>
      <c r="C87" s="99" t="s">
        <v>54</v>
      </c>
      <c r="D87" s="119">
        <v>1682.662</v>
      </c>
      <c r="E87" s="128">
        <v>2108.5790000000002</v>
      </c>
      <c r="F87" s="119">
        <v>2501.4978080000001</v>
      </c>
      <c r="G87" s="145"/>
      <c r="H87" s="145"/>
      <c r="I87" s="119">
        <f>+D87/J$49*1000</f>
        <v>5120.6999391357276</v>
      </c>
      <c r="J87" s="128">
        <f t="shared" si="13"/>
        <v>6826.7523553598603</v>
      </c>
      <c r="K87" s="119">
        <f t="shared" si="14"/>
        <v>7750.3340190853887</v>
      </c>
    </row>
    <row r="88" spans="2:11" x14ac:dyDescent="0.25">
      <c r="B88" s="99" t="s">
        <v>176</v>
      </c>
      <c r="C88" s="99" t="s">
        <v>56</v>
      </c>
      <c r="D88" s="119">
        <v>-182.42400000000001</v>
      </c>
      <c r="E88" s="128">
        <v>-182.42400000000001</v>
      </c>
      <c r="F88" s="119">
        <v>-192.53436500000001</v>
      </c>
      <c r="G88" s="145"/>
      <c r="H88" s="145"/>
      <c r="I88" s="119">
        <f>+D88/J$49*1000</f>
        <v>-555.15520389531343</v>
      </c>
      <c r="J88" s="128">
        <f t="shared" si="13"/>
        <v>-590.61741185612073</v>
      </c>
      <c r="K88" s="119">
        <f t="shared" si="14"/>
        <v>-596.52486367579627</v>
      </c>
    </row>
    <row r="89" spans="2:11" x14ac:dyDescent="0.25">
      <c r="B89" s="99" t="s">
        <v>57</v>
      </c>
      <c r="C89" s="99" t="s">
        <v>58</v>
      </c>
      <c r="D89" s="119">
        <v>-151.09399999999999</v>
      </c>
      <c r="E89" s="128">
        <v>-155.22</v>
      </c>
      <c r="F89" s="119">
        <v>-1360.483714</v>
      </c>
      <c r="G89" s="145"/>
      <c r="H89" s="145"/>
      <c r="I89" s="119">
        <f>+D89/J$49*1000</f>
        <v>-459.81132075471692</v>
      </c>
      <c r="J89" s="128">
        <f t="shared" si="13"/>
        <v>-502.5415223233075</v>
      </c>
      <c r="K89" s="119">
        <f t="shared" si="14"/>
        <v>-4215.1558867269805</v>
      </c>
    </row>
    <row r="90" spans="2:11" x14ac:dyDescent="0.25">
      <c r="B90" s="99" t="s">
        <v>177</v>
      </c>
      <c r="C90" s="99" t="s">
        <v>308</v>
      </c>
      <c r="D90" s="119" t="s">
        <v>12</v>
      </c>
      <c r="E90" s="128">
        <v>0.16500000000000001</v>
      </c>
      <c r="F90" s="119">
        <v>0.33055499999999999</v>
      </c>
      <c r="G90" s="145"/>
      <c r="H90" s="145"/>
      <c r="I90" s="122">
        <f>IFERROR(D90/J$49*1000,0)</f>
        <v>0</v>
      </c>
      <c r="J90" s="128">
        <f t="shared" si="13"/>
        <v>0.53420532910285889</v>
      </c>
      <c r="K90" s="119">
        <f t="shared" si="14"/>
        <v>1.0241510720039657</v>
      </c>
    </row>
    <row r="91" spans="2:11" x14ac:dyDescent="0.25">
      <c r="B91" s="99"/>
      <c r="C91" s="99"/>
      <c r="D91" s="125">
        <v>0</v>
      </c>
      <c r="E91" s="134">
        <v>0</v>
      </c>
      <c r="F91" s="125">
        <v>0</v>
      </c>
      <c r="G91" s="145"/>
      <c r="H91" s="145"/>
      <c r="I91" s="125"/>
      <c r="J91" s="134"/>
      <c r="K91" s="119">
        <f t="shared" si="14"/>
        <v>0</v>
      </c>
    </row>
    <row r="92" spans="2:11" x14ac:dyDescent="0.25">
      <c r="B92" s="102" t="s">
        <v>60</v>
      </c>
      <c r="C92" s="99" t="s">
        <v>61</v>
      </c>
      <c r="D92" s="124">
        <v>-29.603999999999999</v>
      </c>
      <c r="E92" s="133">
        <v>-26.63</v>
      </c>
      <c r="F92" s="124">
        <v>-7.1081370000000001</v>
      </c>
      <c r="G92" s="145"/>
      <c r="H92" s="145"/>
      <c r="I92" s="124">
        <f>+D92/J$49*1000</f>
        <v>-90.091296409007896</v>
      </c>
      <c r="J92" s="133">
        <f>+E92/I$49*1000</f>
        <v>-86.217502509146243</v>
      </c>
      <c r="K92" s="124">
        <f t="shared" si="14"/>
        <v>-22.022979923162723</v>
      </c>
    </row>
    <row r="93" spans="2:11" ht="15.75" thickBot="1" x14ac:dyDescent="0.3">
      <c r="B93" s="99"/>
      <c r="C93" s="99"/>
      <c r="D93" s="120"/>
      <c r="E93" s="129"/>
      <c r="F93" s="120"/>
      <c r="G93" s="145"/>
      <c r="H93" s="145"/>
      <c r="I93" s="120"/>
      <c r="J93" s="129"/>
      <c r="K93" s="120"/>
    </row>
    <row r="94" spans="2:11" ht="15.75" thickBot="1" x14ac:dyDescent="0.3">
      <c r="B94" s="100" t="s">
        <v>62</v>
      </c>
      <c r="C94" s="100" t="s">
        <v>63</v>
      </c>
      <c r="D94" s="121">
        <f>SUM(D95:D101)</f>
        <v>6230.688000000001</v>
      </c>
      <c r="E94" s="130">
        <f>SUM(E95:E101)</f>
        <v>6529.851999999999</v>
      </c>
      <c r="F94" s="121">
        <f>SUM(F95:F101)</f>
        <v>19876.075740000004</v>
      </c>
      <c r="G94" s="145"/>
      <c r="H94" s="145"/>
      <c r="I94" s="121">
        <f>SUM(I95:I101)</f>
        <v>18961.314668289713</v>
      </c>
      <c r="J94" s="130">
        <f>SUM(J95:J101)</f>
        <v>21141.101434260367</v>
      </c>
      <c r="K94" s="121">
        <f>SUM(K95:K101)</f>
        <v>61581.595426942629</v>
      </c>
    </row>
    <row r="95" spans="2:11" x14ac:dyDescent="0.25">
      <c r="B95" s="99" t="s">
        <v>64</v>
      </c>
      <c r="C95" s="99" t="s">
        <v>24</v>
      </c>
      <c r="D95" s="122">
        <v>1900.8979999999999</v>
      </c>
      <c r="E95" s="131">
        <v>1629.498</v>
      </c>
      <c r="F95" s="122">
        <v>13278.101674</v>
      </c>
      <c r="G95" s="145"/>
      <c r="H95" s="145"/>
      <c r="I95" s="122">
        <f t="shared" ref="I95:I101" si="15">+D95/J$49*1000</f>
        <v>5784.8387096774186</v>
      </c>
      <c r="J95" s="131">
        <f t="shared" ref="J95:J101" si="16">+E95/I$49*1000</f>
        <v>5275.6758506815167</v>
      </c>
      <c r="K95" s="122">
        <f>F95/$K$49*1000</f>
        <v>41139.241770975335</v>
      </c>
    </row>
    <row r="96" spans="2:11" x14ac:dyDescent="0.25">
      <c r="B96" s="99" t="s">
        <v>65</v>
      </c>
      <c r="C96" s="99" t="s">
        <v>66</v>
      </c>
      <c r="D96" s="122">
        <v>3436.2719999999999</v>
      </c>
      <c r="E96" s="131">
        <v>3529.739</v>
      </c>
      <c r="F96" s="122">
        <v>4197.3175840000004</v>
      </c>
      <c r="G96" s="145"/>
      <c r="H96" s="145"/>
      <c r="I96" s="122">
        <f t="shared" si="15"/>
        <v>10457.309799147899</v>
      </c>
      <c r="J96" s="131">
        <f t="shared" si="16"/>
        <v>11427.91141904361</v>
      </c>
      <c r="K96" s="122">
        <f t="shared" ref="K96:K101" si="17">F96/$K$49*1000</f>
        <v>13004.454033957121</v>
      </c>
    </row>
    <row r="97" spans="2:11" x14ac:dyDescent="0.25">
      <c r="B97" s="99" t="s">
        <v>178</v>
      </c>
      <c r="C97" s="99" t="s">
        <v>68</v>
      </c>
      <c r="D97" s="122">
        <v>121.72499999999999</v>
      </c>
      <c r="E97" s="131">
        <v>101.464</v>
      </c>
      <c r="F97" s="122">
        <v>832.78013699999997</v>
      </c>
      <c r="G97" s="145"/>
      <c r="H97" s="145"/>
      <c r="I97" s="122">
        <f t="shared" si="15"/>
        <v>370.43517954960436</v>
      </c>
      <c r="J97" s="131">
        <f t="shared" si="16"/>
        <v>328.50066370965129</v>
      </c>
      <c r="K97" s="122">
        <f t="shared" si="17"/>
        <v>2580.1838424835792</v>
      </c>
    </row>
    <row r="98" spans="2:11" x14ac:dyDescent="0.25">
      <c r="B98" s="99" t="s">
        <v>69</v>
      </c>
      <c r="C98" s="99" t="s">
        <v>70</v>
      </c>
      <c r="D98" s="122">
        <v>234.131</v>
      </c>
      <c r="E98" s="131">
        <v>353.82499999999999</v>
      </c>
      <c r="F98" s="122">
        <v>590.39205900000002</v>
      </c>
      <c r="G98" s="145"/>
      <c r="H98" s="145"/>
      <c r="I98" s="122">
        <f t="shared" si="15"/>
        <v>712.51065124771753</v>
      </c>
      <c r="J98" s="131">
        <f t="shared" si="16"/>
        <v>1145.5466701201151</v>
      </c>
      <c r="K98" s="122">
        <f t="shared" si="17"/>
        <v>1829.1983486181684</v>
      </c>
    </row>
    <row r="99" spans="2:11" x14ac:dyDescent="0.25">
      <c r="B99" s="99" t="s">
        <v>71</v>
      </c>
      <c r="C99" s="99" t="s">
        <v>72</v>
      </c>
      <c r="D99" s="122">
        <v>289.25599999999997</v>
      </c>
      <c r="E99" s="131">
        <v>479.44099999999997</v>
      </c>
      <c r="F99" s="122">
        <v>532.14335300000005</v>
      </c>
      <c r="G99" s="145"/>
      <c r="H99" s="145"/>
      <c r="I99" s="122">
        <f t="shared" si="15"/>
        <v>880.2678027997564</v>
      </c>
      <c r="J99" s="131">
        <f t="shared" si="16"/>
        <v>1552.2420435782042</v>
      </c>
      <c r="K99" s="122">
        <f t="shared" si="17"/>
        <v>1648.727701697856</v>
      </c>
    </row>
    <row r="100" spans="2:11" x14ac:dyDescent="0.25">
      <c r="B100" s="99" t="s">
        <v>73</v>
      </c>
      <c r="C100" s="99" t="s">
        <v>74</v>
      </c>
      <c r="D100" s="122">
        <v>248.40600000000001</v>
      </c>
      <c r="E100" s="131">
        <v>160.53399999999999</v>
      </c>
      <c r="F100" s="122">
        <v>114.59032500000001</v>
      </c>
      <c r="G100" s="145"/>
      <c r="H100" s="145"/>
      <c r="I100" s="122">
        <f t="shared" si="15"/>
        <v>755.9525258673159</v>
      </c>
      <c r="J100" s="131">
        <f t="shared" si="16"/>
        <v>519.74617152847463</v>
      </c>
      <c r="K100" s="122">
        <f t="shared" si="17"/>
        <v>355.03260936919077</v>
      </c>
    </row>
    <row r="101" spans="2:11" x14ac:dyDescent="0.25">
      <c r="B101" s="99" t="s">
        <v>75</v>
      </c>
      <c r="C101" s="99" t="s">
        <v>76</v>
      </c>
      <c r="D101" s="120">
        <v>0</v>
      </c>
      <c r="E101" s="129">
        <v>275.351</v>
      </c>
      <c r="F101" s="120">
        <v>330.750608</v>
      </c>
      <c r="G101" s="145"/>
      <c r="H101" s="145"/>
      <c r="I101" s="120">
        <f t="shared" si="15"/>
        <v>0</v>
      </c>
      <c r="J101" s="129">
        <f t="shared" si="16"/>
        <v>891.47861559879561</v>
      </c>
      <c r="K101" s="122">
        <f t="shared" si="17"/>
        <v>1024.7571198413682</v>
      </c>
    </row>
    <row r="102" spans="2:11" ht="15.75" thickBot="1" x14ac:dyDescent="0.3">
      <c r="B102" s="99"/>
      <c r="C102" s="99"/>
      <c r="D102" s="120"/>
      <c r="E102" s="129"/>
      <c r="F102" s="120"/>
      <c r="G102" s="145"/>
      <c r="H102" s="145"/>
      <c r="I102" s="120"/>
      <c r="J102" s="129"/>
      <c r="K102" s="120"/>
    </row>
    <row r="103" spans="2:11" ht="15.75" thickBot="1" x14ac:dyDescent="0.3">
      <c r="B103" s="100" t="s">
        <v>77</v>
      </c>
      <c r="C103" s="100" t="s">
        <v>78</v>
      </c>
      <c r="D103" s="118">
        <f>SUM(D104:D110)</f>
        <v>3920.2220000000002</v>
      </c>
      <c r="E103" s="127">
        <f>SUM(E104:E110)</f>
        <v>4292.7309999999998</v>
      </c>
      <c r="F103" s="118">
        <f>SUM(F104:F110)</f>
        <v>7025.2305310000002</v>
      </c>
      <c r="G103" s="145"/>
      <c r="H103" s="145"/>
      <c r="I103" s="118">
        <f>SUM(I104:I110)</f>
        <v>11930.073037127204</v>
      </c>
      <c r="J103" s="127">
        <f>SUM(J104:J110)</f>
        <v>13898.180464272997</v>
      </c>
      <c r="K103" s="118">
        <f>SUM(K104:K110)</f>
        <v>21766.112687445784</v>
      </c>
    </row>
    <row r="104" spans="2:11" x14ac:dyDescent="0.25">
      <c r="B104" s="99" t="s">
        <v>179</v>
      </c>
      <c r="C104" s="99" t="s">
        <v>315</v>
      </c>
      <c r="D104" s="119">
        <v>341.05700000000002</v>
      </c>
      <c r="E104" s="128">
        <v>754.86</v>
      </c>
      <c r="F104" s="119">
        <v>1678.328323</v>
      </c>
      <c r="G104" s="145"/>
      <c r="H104" s="145"/>
      <c r="I104" s="119">
        <f t="shared" ref="I104:I110" si="18">+D104/J$49*1000</f>
        <v>1037.9093122337188</v>
      </c>
      <c r="J104" s="128">
        <f t="shared" ref="J104:J110" si="19">+E104/I$49*1000</f>
        <v>2443.9408165247514</v>
      </c>
      <c r="K104" s="119">
        <f>F104/$K$49*1000</f>
        <v>5199.9266420869999</v>
      </c>
    </row>
    <row r="105" spans="2:11" x14ac:dyDescent="0.25">
      <c r="B105" s="99" t="s">
        <v>80</v>
      </c>
      <c r="C105" s="99" t="s">
        <v>180</v>
      </c>
      <c r="D105" s="119">
        <v>1077.817</v>
      </c>
      <c r="E105" s="128">
        <v>74.227999999999994</v>
      </c>
      <c r="F105" s="119">
        <v>96.534999999999997</v>
      </c>
      <c r="G105" s="145"/>
      <c r="H105" s="145"/>
      <c r="I105" s="119">
        <f t="shared" si="18"/>
        <v>3280.0273889227019</v>
      </c>
      <c r="J105" s="128">
        <f t="shared" si="19"/>
        <v>240.32117071907271</v>
      </c>
      <c r="K105" s="119">
        <f t="shared" ref="K105:K110" si="20">F105/$K$49*1000</f>
        <v>299.09220473416781</v>
      </c>
    </row>
    <row r="106" spans="2:11" x14ac:dyDescent="0.25">
      <c r="B106" s="99" t="s">
        <v>81</v>
      </c>
      <c r="C106" s="99" t="s">
        <v>82</v>
      </c>
      <c r="D106" s="119">
        <v>938.822</v>
      </c>
      <c r="E106" s="128">
        <v>631.53899999999999</v>
      </c>
      <c r="F106" s="119">
        <v>355.83098100000001</v>
      </c>
      <c r="G106" s="145"/>
      <c r="H106" s="145"/>
      <c r="I106" s="119">
        <f t="shared" si="18"/>
        <v>2857.0359099208763</v>
      </c>
      <c r="J106" s="128">
        <f t="shared" si="19"/>
        <v>2044.6757535532747</v>
      </c>
      <c r="K106" s="119">
        <f t="shared" si="20"/>
        <v>1102.4630716321726</v>
      </c>
    </row>
    <row r="107" spans="2:11" x14ac:dyDescent="0.25">
      <c r="B107" s="99" t="s">
        <v>83</v>
      </c>
      <c r="C107" s="99" t="s">
        <v>84</v>
      </c>
      <c r="D107" s="119">
        <v>139.31</v>
      </c>
      <c r="E107" s="128">
        <v>834.55399999999997</v>
      </c>
      <c r="F107" s="119">
        <v>564.485771</v>
      </c>
      <c r="G107" s="145"/>
      <c r="H107" s="145"/>
      <c r="I107" s="119">
        <f t="shared" si="18"/>
        <v>423.95009129640897</v>
      </c>
      <c r="J107" s="128">
        <f t="shared" si="19"/>
        <v>2701.9587528733769</v>
      </c>
      <c r="K107" s="119">
        <f t="shared" si="20"/>
        <v>1748.9334830834055</v>
      </c>
    </row>
    <row r="108" spans="2:11" ht="30" x14ac:dyDescent="0.25">
      <c r="B108" s="99" t="s">
        <v>85</v>
      </c>
      <c r="C108" s="99" t="s">
        <v>86</v>
      </c>
      <c r="D108" s="119">
        <v>1325.915</v>
      </c>
      <c r="E108" s="128">
        <v>1539.8879999999999</v>
      </c>
      <c r="F108" s="119">
        <v>477.98033900000001</v>
      </c>
      <c r="G108" s="145"/>
      <c r="H108" s="145"/>
      <c r="I108" s="119">
        <f t="shared" si="18"/>
        <v>4035.0426049908697</v>
      </c>
      <c r="J108" s="128">
        <f t="shared" si="19"/>
        <v>4985.5537928578369</v>
      </c>
      <c r="K108" s="119">
        <f t="shared" si="20"/>
        <v>1480.9156617920439</v>
      </c>
    </row>
    <row r="109" spans="2:11" x14ac:dyDescent="0.25">
      <c r="B109" s="99" t="s">
        <v>87</v>
      </c>
      <c r="C109" s="99" t="s">
        <v>88</v>
      </c>
      <c r="D109" s="119">
        <v>37.472000000000001</v>
      </c>
      <c r="E109" s="128">
        <v>52.628</v>
      </c>
      <c r="F109" s="119">
        <v>3695.1149569999998</v>
      </c>
      <c r="G109" s="145"/>
      <c r="H109" s="145"/>
      <c r="I109" s="119">
        <f t="shared" si="18"/>
        <v>114.03530127814972</v>
      </c>
      <c r="J109" s="128">
        <f t="shared" si="19"/>
        <v>170.38883672742577</v>
      </c>
      <c r="K109" s="119">
        <f t="shared" si="20"/>
        <v>11448.491005700831</v>
      </c>
    </row>
    <row r="110" spans="2:11" x14ac:dyDescent="0.25">
      <c r="B110" s="99" t="s">
        <v>89</v>
      </c>
      <c r="C110" s="99" t="s">
        <v>90</v>
      </c>
      <c r="D110" s="119">
        <v>59.829000000000001</v>
      </c>
      <c r="E110" s="128">
        <v>405.03399999999999</v>
      </c>
      <c r="F110" s="119">
        <v>156.95516000000001</v>
      </c>
      <c r="G110" s="145"/>
      <c r="H110" s="145"/>
      <c r="I110" s="119">
        <f t="shared" si="18"/>
        <v>182.07242848447962</v>
      </c>
      <c r="J110" s="128">
        <f t="shared" si="19"/>
        <v>1311.3413410172564</v>
      </c>
      <c r="K110" s="119">
        <f t="shared" si="20"/>
        <v>486.29061841616067</v>
      </c>
    </row>
    <row r="111" spans="2:11" ht="15.75" thickBot="1" x14ac:dyDescent="0.3">
      <c r="B111" s="99"/>
      <c r="C111" s="99"/>
      <c r="D111" s="120"/>
      <c r="E111" s="129"/>
      <c r="F111" s="120"/>
      <c r="G111" s="145"/>
      <c r="H111" s="145"/>
      <c r="I111" s="120"/>
      <c r="J111" s="129"/>
      <c r="K111" s="120"/>
    </row>
    <row r="112" spans="2:11" ht="31.5" thickTop="1" thickBot="1" x14ac:dyDescent="0.3">
      <c r="B112" s="101" t="s">
        <v>91</v>
      </c>
      <c r="C112" s="101" t="s">
        <v>92</v>
      </c>
      <c r="D112" s="123">
        <f>+D103+D94+D82</f>
        <v>14819.844000000001</v>
      </c>
      <c r="E112" s="132">
        <f>+E103+E94+E82</f>
        <v>15927.020999999999</v>
      </c>
      <c r="F112" s="123">
        <f>+F103+F94+F82</f>
        <v>33211.463546000006</v>
      </c>
      <c r="G112" s="145"/>
      <c r="H112" s="145"/>
      <c r="I112" s="123">
        <f>+I103+I94+I82</f>
        <v>45099.951308581862</v>
      </c>
      <c r="J112" s="132">
        <f>+J103+J94+J82</f>
        <v>51565.4514844433</v>
      </c>
      <c r="K112" s="123">
        <f>+K103+K94+K82</f>
        <v>102898.32552360889</v>
      </c>
    </row>
    <row r="113" ht="15.75" thickTop="1" x14ac:dyDescent="0.25"/>
    <row r="137" spans="4:6" x14ac:dyDescent="0.25">
      <c r="D137" s="126"/>
      <c r="E137" s="108"/>
      <c r="F137" s="126"/>
    </row>
    <row r="138" spans="4:6" x14ac:dyDescent="0.25">
      <c r="D138" s="126"/>
      <c r="E138" s="108"/>
      <c r="F138" s="126"/>
    </row>
  </sheetData>
  <mergeCells count="4">
    <mergeCell ref="I48:J48"/>
    <mergeCell ref="I1:J1"/>
    <mergeCell ref="I25:J25"/>
    <mergeCell ref="I78:J78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E47"/>
  <sheetViews>
    <sheetView zoomScaleNormal="100" workbookViewId="0">
      <pane xSplit="3" ySplit="4" topLeftCell="V44" activePane="bottomRight" state="frozen"/>
      <selection pane="topRight" activeCell="D1" sqref="D1"/>
      <selection pane="bottomLeft" activeCell="A5" sqref="A5"/>
      <selection pane="bottomRight" activeCell="C56" sqref="C56"/>
    </sheetView>
  </sheetViews>
  <sheetFormatPr defaultRowHeight="15" outlineLevelRow="2" outlineLevelCol="1" x14ac:dyDescent="0.25"/>
  <cols>
    <col min="1" max="1" width="18.7109375" bestFit="1" customWidth="1"/>
    <col min="2" max="2" width="36.5703125" style="92" customWidth="1"/>
    <col min="3" max="3" width="36.42578125" style="92" customWidth="1"/>
    <col min="4" max="13" width="11.85546875" customWidth="1" outlineLevel="1"/>
    <col min="14" max="14" width="12" customWidth="1" outlineLevel="1"/>
    <col min="15" max="15" width="13.7109375" customWidth="1" outlineLevel="1"/>
    <col min="16" max="17" width="14" customWidth="1" outlineLevel="1"/>
    <col min="18" max="18" width="9.140625" customWidth="1" outlineLevel="1"/>
    <col min="19" max="19" width="10.42578125" customWidth="1" outlineLevel="1"/>
    <col min="20" max="20" width="15.5703125" bestFit="1" customWidth="1"/>
    <col min="21" max="22" width="15.5703125" style="108" bestFit="1" customWidth="1"/>
    <col min="23" max="28" width="15.5703125" bestFit="1" customWidth="1"/>
    <col min="29" max="29" width="13.7109375" customWidth="1"/>
    <col min="30" max="30" width="14" customWidth="1"/>
    <col min="31" max="31" width="13.7109375" customWidth="1"/>
  </cols>
  <sheetData>
    <row r="1" spans="1:31" ht="18.75" x14ac:dyDescent="0.3">
      <c r="A1" s="191">
        <v>1000000</v>
      </c>
      <c r="T1" s="218" t="s">
        <v>293</v>
      </c>
      <c r="U1" s="218"/>
    </row>
    <row r="2" spans="1:31" x14ac:dyDescent="0.25">
      <c r="B2" s="190"/>
      <c r="C2" s="92" t="s">
        <v>318</v>
      </c>
      <c r="S2" s="200" t="s">
        <v>323</v>
      </c>
      <c r="T2" s="200">
        <v>309.11</v>
      </c>
      <c r="U2" s="198">
        <v>309.45999999999998</v>
      </c>
      <c r="V2" s="199">
        <v>308.42</v>
      </c>
      <c r="W2" s="200">
        <f>'éves P&amp;L_mérleg'!O65</f>
        <v>309.20999999999998</v>
      </c>
      <c r="X2" s="200">
        <v>311.02999999999997</v>
      </c>
      <c r="Y2" s="200">
        <v>314.08</v>
      </c>
      <c r="Z2" s="200">
        <v>317.54000000000002</v>
      </c>
      <c r="AA2" s="200">
        <f>'éves P&amp;L_mérleg'!P65</f>
        <v>318.87</v>
      </c>
      <c r="AB2" s="200">
        <v>318.07</v>
      </c>
      <c r="AC2" s="200">
        <v>320.57</v>
      </c>
      <c r="AD2" s="200">
        <v>323.16000000000003</v>
      </c>
    </row>
    <row r="3" spans="1:31" outlineLevel="1" x14ac:dyDescent="0.25">
      <c r="A3" s="1" t="s">
        <v>313</v>
      </c>
      <c r="B3" s="163"/>
      <c r="C3" s="163" t="s">
        <v>312</v>
      </c>
      <c r="D3" s="103" t="s">
        <v>294</v>
      </c>
      <c r="E3" s="103" t="s">
        <v>296</v>
      </c>
      <c r="F3" s="103" t="s">
        <v>297</v>
      </c>
      <c r="G3" s="103" t="s">
        <v>298</v>
      </c>
      <c r="H3" s="103" t="s">
        <v>299</v>
      </c>
      <c r="I3" s="103" t="s">
        <v>295</v>
      </c>
      <c r="J3" s="103" t="s">
        <v>300</v>
      </c>
      <c r="K3" s="103" t="s">
        <v>303</v>
      </c>
      <c r="L3" s="103" t="s">
        <v>304</v>
      </c>
      <c r="M3" s="103" t="s">
        <v>302</v>
      </c>
      <c r="N3" s="103" t="s">
        <v>301</v>
      </c>
      <c r="O3" s="103" t="s">
        <v>321</v>
      </c>
      <c r="P3" s="103" t="s">
        <v>320</v>
      </c>
      <c r="Q3" s="103" t="s">
        <v>322</v>
      </c>
      <c r="T3" s="103" t="s">
        <v>294</v>
      </c>
      <c r="U3" s="103" t="s">
        <v>296</v>
      </c>
      <c r="V3" s="103" t="s">
        <v>297</v>
      </c>
      <c r="W3" s="103" t="s">
        <v>298</v>
      </c>
      <c r="X3" s="103" t="s">
        <v>299</v>
      </c>
      <c r="Y3" s="103" t="s">
        <v>295</v>
      </c>
      <c r="Z3" s="103" t="s">
        <v>300</v>
      </c>
      <c r="AA3" s="103" t="s">
        <v>303</v>
      </c>
      <c r="AB3" s="103" t="s">
        <v>304</v>
      </c>
      <c r="AC3" s="103" t="s">
        <v>302</v>
      </c>
      <c r="AD3" s="103" t="s">
        <v>301</v>
      </c>
      <c r="AE3" s="103"/>
    </row>
    <row r="4" spans="1:31" outlineLevel="1" x14ac:dyDescent="0.25">
      <c r="B4" s="163" t="s">
        <v>93</v>
      </c>
      <c r="C4" s="164" t="s">
        <v>167</v>
      </c>
      <c r="D4" s="139" t="s">
        <v>171</v>
      </c>
      <c r="E4" s="139" t="s">
        <v>171</v>
      </c>
      <c r="F4" s="139" t="s">
        <v>171</v>
      </c>
      <c r="G4" s="139" t="s">
        <v>171</v>
      </c>
      <c r="H4" s="139" t="s">
        <v>171</v>
      </c>
      <c r="I4" s="139" t="s">
        <v>171</v>
      </c>
      <c r="J4" s="139" t="s">
        <v>171</v>
      </c>
      <c r="K4" s="139" t="s">
        <v>171</v>
      </c>
      <c r="L4" s="139" t="s">
        <v>171</v>
      </c>
      <c r="M4" s="139" t="s">
        <v>171</v>
      </c>
      <c r="N4" s="139" t="s">
        <v>171</v>
      </c>
      <c r="O4" s="139" t="s">
        <v>171</v>
      </c>
      <c r="P4" s="139" t="s">
        <v>171</v>
      </c>
      <c r="Q4" s="139" t="s">
        <v>171</v>
      </c>
      <c r="T4" s="140" t="s">
        <v>181</v>
      </c>
      <c r="U4" s="103" t="s">
        <v>181</v>
      </c>
      <c r="V4" s="139" t="s">
        <v>181</v>
      </c>
      <c r="W4" s="139" t="s">
        <v>171</v>
      </c>
      <c r="X4" s="139" t="s">
        <v>171</v>
      </c>
      <c r="Y4" s="139" t="s">
        <v>171</v>
      </c>
      <c r="Z4" s="139" t="s">
        <v>171</v>
      </c>
      <c r="AA4" s="139" t="s">
        <v>171</v>
      </c>
      <c r="AB4" s="139" t="s">
        <v>171</v>
      </c>
      <c r="AC4" s="139" t="s">
        <v>171</v>
      </c>
      <c r="AD4" s="139" t="s">
        <v>171</v>
      </c>
      <c r="AE4" s="139"/>
    </row>
    <row r="5" spans="1:31" ht="14.45" customHeight="1" outlineLevel="1" x14ac:dyDescent="0.25">
      <c r="B5" s="94" t="s">
        <v>98</v>
      </c>
      <c r="C5" s="94" t="s">
        <v>142</v>
      </c>
      <c r="D5" s="170">
        <v>4707.8136949999998</v>
      </c>
      <c r="E5" s="174">
        <v>8634.7703390000006</v>
      </c>
      <c r="F5" s="170">
        <v>12379.406604</v>
      </c>
      <c r="G5" s="174">
        <v>18389.28427</v>
      </c>
      <c r="H5" s="170">
        <v>5191.0879359999999</v>
      </c>
      <c r="I5" s="174">
        <v>9276.6434790000003</v>
      </c>
      <c r="J5" s="170">
        <v>12804</v>
      </c>
      <c r="K5" s="174">
        <v>18685.766845999999</v>
      </c>
      <c r="L5" s="170">
        <v>6494.3898570000001</v>
      </c>
      <c r="M5" s="174">
        <v>12141.442588</v>
      </c>
      <c r="N5" s="111">
        <v>17995</v>
      </c>
      <c r="O5" s="104"/>
      <c r="P5" s="152"/>
      <c r="Q5" s="155"/>
      <c r="T5" s="135">
        <f t="shared" ref="T5:T22" si="0">+D5/T$2*1000</f>
        <v>15230.221264274853</v>
      </c>
      <c r="U5" s="104">
        <f t="shared" ref="U5:U22" si="1">+E5/U$2*1000</f>
        <v>27902.702575454023</v>
      </c>
      <c r="V5" s="111">
        <f t="shared" ref="V5:V22" si="2">+F5/V$2*1000</f>
        <v>40138.144750664673</v>
      </c>
      <c r="W5" s="192">
        <f t="shared" ref="W5:W22" si="3">+G5/W$2*1000</f>
        <v>59471.829080560143</v>
      </c>
      <c r="X5" s="111">
        <f t="shared" ref="X5:X22" si="4">+H5/X$2*1000</f>
        <v>16689.991113397424</v>
      </c>
      <c r="Y5" s="192">
        <f t="shared" ref="Y5:Y22" si="5">+I5/Y$2*1000</f>
        <v>29535.925493504841</v>
      </c>
      <c r="Z5" s="111">
        <f t="shared" ref="Z5:Z22" si="6">+J5/Z$2*1000</f>
        <v>40322.4790577565</v>
      </c>
      <c r="AA5" s="192">
        <f t="shared" ref="AA5:AA22" si="7">+K5/AA$2*1000</f>
        <v>58599.95247593063</v>
      </c>
      <c r="AB5" s="111">
        <f t="shared" ref="AB5:AD22" si="8">+L5/AB$2*1000</f>
        <v>20418.115059578082</v>
      </c>
      <c r="AC5" s="192">
        <f t="shared" si="8"/>
        <v>37874.544055900427</v>
      </c>
      <c r="AD5" s="111">
        <f t="shared" si="8"/>
        <v>55684.490654784007</v>
      </c>
      <c r="AE5" s="104"/>
    </row>
    <row r="6" spans="1:31" outlineLevel="1" x14ac:dyDescent="0.25">
      <c r="B6" s="95" t="s">
        <v>170</v>
      </c>
      <c r="C6" s="95" t="s">
        <v>143</v>
      </c>
      <c r="D6" s="184">
        <v>-3866.575609</v>
      </c>
      <c r="E6" s="175">
        <v>-6551.1668120000004</v>
      </c>
      <c r="F6" s="184">
        <v>-9664.6009780000004</v>
      </c>
      <c r="G6" s="175">
        <v>-14606.384983</v>
      </c>
      <c r="H6" s="184">
        <v>-4157.878565</v>
      </c>
      <c r="I6" s="175">
        <v>-7213.7795980000001</v>
      </c>
      <c r="J6" s="184">
        <v>-9801</v>
      </c>
      <c r="K6" s="175">
        <v>-14264.354327999999</v>
      </c>
      <c r="L6" s="184">
        <v>-5192.2275600000003</v>
      </c>
      <c r="M6" s="175">
        <v>-8379.8780210000004</v>
      </c>
      <c r="N6" s="112">
        <v>-12710</v>
      </c>
      <c r="O6" s="105"/>
      <c r="P6" s="112"/>
      <c r="Q6" s="193"/>
      <c r="T6" s="136">
        <f t="shared" si="0"/>
        <v>-12508.736724790528</v>
      </c>
      <c r="U6" s="105">
        <f t="shared" si="1"/>
        <v>-21169.672371227305</v>
      </c>
      <c r="V6" s="112">
        <f t="shared" si="2"/>
        <v>-31335.843907658385</v>
      </c>
      <c r="W6" s="193">
        <f t="shared" si="3"/>
        <v>-47237.750988001688</v>
      </c>
      <c r="X6" s="112">
        <f t="shared" si="4"/>
        <v>-13368.094926534419</v>
      </c>
      <c r="Y6" s="193">
        <f t="shared" si="5"/>
        <v>-22967.968664034644</v>
      </c>
      <c r="Z6" s="112">
        <f t="shared" si="6"/>
        <v>-30865.402783901238</v>
      </c>
      <c r="AA6" s="193">
        <f t="shared" si="7"/>
        <v>-44734.074475491572</v>
      </c>
      <c r="AB6" s="112">
        <f t="shared" si="8"/>
        <v>-16324.166252711666</v>
      </c>
      <c r="AC6" s="193">
        <f t="shared" si="8"/>
        <v>-26140.555950338465</v>
      </c>
      <c r="AD6" s="112">
        <f t="shared" si="8"/>
        <v>-39330.362668647103</v>
      </c>
      <c r="AE6" s="105"/>
    </row>
    <row r="7" spans="1:31" outlineLevel="1" x14ac:dyDescent="0.25">
      <c r="B7" s="96" t="s">
        <v>144</v>
      </c>
      <c r="C7" s="96" t="s">
        <v>145</v>
      </c>
      <c r="D7" s="184">
        <v>-570.57811400000003</v>
      </c>
      <c r="E7" s="175">
        <v>-1107.2819280000001</v>
      </c>
      <c r="F7" s="184">
        <v>-1702.3162199999999</v>
      </c>
      <c r="G7" s="175">
        <v>-2153.922556</v>
      </c>
      <c r="H7" s="184">
        <v>-622.849559</v>
      </c>
      <c r="I7" s="175">
        <v>-1245.3993559999999</v>
      </c>
      <c r="J7" s="184">
        <v>-1808.0923909999999</v>
      </c>
      <c r="K7" s="175">
        <v>-2506.5336560000001</v>
      </c>
      <c r="L7" s="184">
        <v>-650.11555499999997</v>
      </c>
      <c r="M7" s="175">
        <v>-1290.5134969999999</v>
      </c>
      <c r="N7" s="113">
        <v>-2122</v>
      </c>
      <c r="O7" s="106"/>
      <c r="P7" s="113"/>
      <c r="Q7" s="194"/>
      <c r="T7" s="137">
        <f t="shared" si="0"/>
        <v>-1845.8740060172754</v>
      </c>
      <c r="U7" s="106">
        <f t="shared" si="1"/>
        <v>-3578.1100239126226</v>
      </c>
      <c r="V7" s="113">
        <f t="shared" si="2"/>
        <v>-5519.4741586148757</v>
      </c>
      <c r="W7" s="194">
        <f t="shared" si="3"/>
        <v>-6965.8890592154212</v>
      </c>
      <c r="X7" s="113">
        <f t="shared" si="4"/>
        <v>-2002.5385300453333</v>
      </c>
      <c r="Y7" s="194">
        <f t="shared" si="5"/>
        <v>-3965.2297376464594</v>
      </c>
      <c r="Z7" s="113">
        <f t="shared" si="6"/>
        <v>-5694.061822132644</v>
      </c>
      <c r="AA7" s="194">
        <f t="shared" si="7"/>
        <v>-7860.675686016245</v>
      </c>
      <c r="AB7" s="113">
        <f t="shared" si="8"/>
        <v>-2043.9386141415409</v>
      </c>
      <c r="AC7" s="194">
        <f t="shared" si="8"/>
        <v>-4025.6839286271324</v>
      </c>
      <c r="AD7" s="113">
        <f t="shared" si="8"/>
        <v>-6566.4067335066211</v>
      </c>
      <c r="AE7" s="106"/>
    </row>
    <row r="8" spans="1:31" outlineLevel="1" x14ac:dyDescent="0.25">
      <c r="B8" s="96" t="s">
        <v>146</v>
      </c>
      <c r="C8" s="96" t="s">
        <v>147</v>
      </c>
      <c r="D8" s="184">
        <v>-150.23280800000001</v>
      </c>
      <c r="E8" s="175">
        <v>-284.247075</v>
      </c>
      <c r="F8" s="184">
        <v>-419.81182200000001</v>
      </c>
      <c r="G8" s="175">
        <v>-571.66508499999998</v>
      </c>
      <c r="H8" s="184">
        <v>-159.68045100000001</v>
      </c>
      <c r="I8" s="175">
        <v>-336.25823700000001</v>
      </c>
      <c r="J8" s="184">
        <v>-502.08338300000003</v>
      </c>
      <c r="K8" s="175">
        <v>-729.81811600000003</v>
      </c>
      <c r="L8" s="184">
        <v>-252.92470599999999</v>
      </c>
      <c r="M8" s="175">
        <v>-908.34394999999995</v>
      </c>
      <c r="N8" s="113">
        <v>-1545</v>
      </c>
      <c r="O8" s="106"/>
      <c r="P8" s="113"/>
      <c r="Q8" s="194"/>
      <c r="T8" s="137">
        <f t="shared" si="0"/>
        <v>-486.01730128433246</v>
      </c>
      <c r="U8" s="106">
        <f t="shared" si="1"/>
        <v>-918.52606152653016</v>
      </c>
      <c r="V8" s="113">
        <f t="shared" si="2"/>
        <v>-1361.1692562090657</v>
      </c>
      <c r="W8" s="194">
        <f t="shared" si="3"/>
        <v>-1848.7923579444391</v>
      </c>
      <c r="X8" s="113">
        <f t="shared" si="4"/>
        <v>-513.39244124361005</v>
      </c>
      <c r="Y8" s="194">
        <f t="shared" si="5"/>
        <v>-1070.6133373662763</v>
      </c>
      <c r="Z8" s="113">
        <f t="shared" si="6"/>
        <v>-1581.1657838382566</v>
      </c>
      <c r="AA8" s="194">
        <f t="shared" si="7"/>
        <v>-2288.763809703014</v>
      </c>
      <c r="AB8" s="113">
        <f t="shared" si="8"/>
        <v>-795.18566982110849</v>
      </c>
      <c r="AC8" s="194">
        <f t="shared" si="8"/>
        <v>-2833.5276226721153</v>
      </c>
      <c r="AD8" s="113">
        <f t="shared" si="8"/>
        <v>-4780.9134793910134</v>
      </c>
      <c r="AE8" s="106"/>
    </row>
    <row r="9" spans="1:31" outlineLevel="1" x14ac:dyDescent="0.25">
      <c r="B9" s="96" t="s">
        <v>108</v>
      </c>
      <c r="C9" s="96" t="s">
        <v>148</v>
      </c>
      <c r="D9" s="184">
        <v>198.49933899999999</v>
      </c>
      <c r="E9" s="175">
        <v>287.04914300000002</v>
      </c>
      <c r="F9" s="184">
        <v>387.114529</v>
      </c>
      <c r="G9" s="175">
        <v>305.97678999999999</v>
      </c>
      <c r="H9" s="184">
        <v>-5.2825069999999998</v>
      </c>
      <c r="I9" s="175">
        <v>118.66872499999999</v>
      </c>
      <c r="J9" s="184">
        <v>-28.553673</v>
      </c>
      <c r="K9" s="175">
        <v>-114.311959</v>
      </c>
      <c r="L9" s="184">
        <v>-198.214327</v>
      </c>
      <c r="M9" s="175">
        <v>-348.20757500000002</v>
      </c>
      <c r="N9" s="113">
        <v>-364</v>
      </c>
      <c r="O9" s="106"/>
      <c r="P9" s="113"/>
      <c r="Q9" s="194"/>
      <c r="T9" s="137">
        <f t="shared" si="0"/>
        <v>642.16408074795368</v>
      </c>
      <c r="U9" s="106">
        <f t="shared" si="1"/>
        <v>927.58076326504249</v>
      </c>
      <c r="V9" s="113">
        <f t="shared" si="2"/>
        <v>1255.1537805589778</v>
      </c>
      <c r="W9" s="194">
        <f t="shared" si="3"/>
        <v>989.54364347854221</v>
      </c>
      <c r="X9" s="113">
        <f t="shared" si="4"/>
        <v>-16.983914734913032</v>
      </c>
      <c r="Y9" s="194">
        <f t="shared" si="5"/>
        <v>377.82961347427408</v>
      </c>
      <c r="Z9" s="113">
        <f t="shared" si="6"/>
        <v>-89.921499653586935</v>
      </c>
      <c r="AA9" s="194">
        <f t="shared" si="7"/>
        <v>-358.49079248596604</v>
      </c>
      <c r="AB9" s="113">
        <f t="shared" si="8"/>
        <v>-623.17831609394159</v>
      </c>
      <c r="AC9" s="194">
        <f t="shared" si="8"/>
        <v>-1086.2138534485448</v>
      </c>
      <c r="AD9" s="113">
        <f t="shared" si="8"/>
        <v>-1126.3770268597598</v>
      </c>
      <c r="AE9" s="106"/>
    </row>
    <row r="10" spans="1:31" outlineLevel="1" x14ac:dyDescent="0.25">
      <c r="B10" s="96" t="s">
        <v>149</v>
      </c>
      <c r="C10" s="96" t="s">
        <v>150</v>
      </c>
      <c r="D10" s="184">
        <v>0</v>
      </c>
      <c r="E10" s="175">
        <v>0</v>
      </c>
      <c r="F10" s="184">
        <v>0</v>
      </c>
      <c r="G10" s="175">
        <v>-1.35</v>
      </c>
      <c r="H10" s="184">
        <v>0</v>
      </c>
      <c r="I10" s="175">
        <v>-22.455480999999999</v>
      </c>
      <c r="J10" s="184">
        <v>-28.251795000000001</v>
      </c>
      <c r="K10" s="175">
        <v>-32.522967000000001</v>
      </c>
      <c r="L10" s="184">
        <v>0</v>
      </c>
      <c r="M10" s="175">
        <v>-80.143831000000006</v>
      </c>
      <c r="N10" s="113">
        <v>-82</v>
      </c>
      <c r="O10" s="106"/>
      <c r="P10" s="113"/>
      <c r="Q10" s="194"/>
      <c r="T10" s="137">
        <f t="shared" si="0"/>
        <v>0</v>
      </c>
      <c r="U10" s="106">
        <f t="shared" si="1"/>
        <v>0</v>
      </c>
      <c r="V10" s="113">
        <f t="shared" si="2"/>
        <v>0</v>
      </c>
      <c r="W10" s="194">
        <f t="shared" si="3"/>
        <v>-4.365964878238092</v>
      </c>
      <c r="X10" s="113">
        <f t="shared" si="4"/>
        <v>0</v>
      </c>
      <c r="Y10" s="194">
        <f t="shared" si="5"/>
        <v>-71.496055145185935</v>
      </c>
      <c r="Z10" s="113">
        <f t="shared" si="6"/>
        <v>-88.970822573534051</v>
      </c>
      <c r="AA10" s="194">
        <f t="shared" si="7"/>
        <v>-101.99443974033305</v>
      </c>
      <c r="AB10" s="113">
        <f t="shared" si="8"/>
        <v>0</v>
      </c>
      <c r="AC10" s="194">
        <f t="shared" si="8"/>
        <v>-250.00415197928695</v>
      </c>
      <c r="AD10" s="113">
        <f t="shared" si="8"/>
        <v>-253.74427528159421</v>
      </c>
      <c r="AE10" s="106"/>
    </row>
    <row r="11" spans="1:31" outlineLevel="1" x14ac:dyDescent="0.25">
      <c r="B11" s="89" t="s">
        <v>151</v>
      </c>
      <c r="C11" s="89" t="s">
        <v>152</v>
      </c>
      <c r="D11" s="170">
        <v>318.9265029999998</v>
      </c>
      <c r="E11" s="174">
        <v>979.12366700000007</v>
      </c>
      <c r="F11" s="170">
        <v>979.79211299999952</v>
      </c>
      <c r="G11" s="174">
        <v>1361.9384360000001</v>
      </c>
      <c r="H11" s="170">
        <v>245.39685399999991</v>
      </c>
      <c r="I11" s="174">
        <v>577.41953200000034</v>
      </c>
      <c r="J11" s="212">
        <v>636.01875800000005</v>
      </c>
      <c r="K11" s="213">
        <v>1038.225819999999</v>
      </c>
      <c r="L11" s="212">
        <v>200.90770899999987</v>
      </c>
      <c r="M11" s="213">
        <v>1134.3557139999996</v>
      </c>
      <c r="N11" s="213">
        <v>1172</v>
      </c>
      <c r="O11" s="86"/>
      <c r="P11" s="153"/>
      <c r="Q11" s="157"/>
      <c r="T11" s="114">
        <f t="shared" si="0"/>
        <v>1031.7573129306711</v>
      </c>
      <c r="U11" s="86">
        <f t="shared" si="1"/>
        <v>3163.9748820526083</v>
      </c>
      <c r="V11" s="114">
        <f t="shared" si="2"/>
        <v>3176.8112087413251</v>
      </c>
      <c r="W11" s="195">
        <f t="shared" si="3"/>
        <v>4404.5743539989016</v>
      </c>
      <c r="X11" s="114">
        <f t="shared" si="4"/>
        <v>788.98130083914702</v>
      </c>
      <c r="Y11" s="195">
        <f t="shared" si="5"/>
        <v>1838.4473127865524</v>
      </c>
      <c r="Z11" s="114">
        <f t="shared" si="6"/>
        <v>2002.9563456572398</v>
      </c>
      <c r="AA11" s="195">
        <f t="shared" si="7"/>
        <v>3255.9532724934893</v>
      </c>
      <c r="AB11" s="114">
        <f t="shared" si="8"/>
        <v>631.64620680982136</v>
      </c>
      <c r="AC11" s="195">
        <f t="shared" si="8"/>
        <v>3538.5585488348866</v>
      </c>
      <c r="AD11" s="114">
        <f t="shared" si="8"/>
        <v>3626.686471097908</v>
      </c>
      <c r="AE11" s="86"/>
    </row>
    <row r="12" spans="1:31" outlineLevel="1" x14ac:dyDescent="0.25">
      <c r="B12" s="96" t="s">
        <v>153</v>
      </c>
      <c r="C12" s="96" t="s">
        <v>154</v>
      </c>
      <c r="D12" s="171">
        <v>-93.023401000000007</v>
      </c>
      <c r="E12" s="178">
        <v>-176.415548</v>
      </c>
      <c r="F12" s="171">
        <v>-245.766569</v>
      </c>
      <c r="G12" s="178">
        <v>-329.10903100000002</v>
      </c>
      <c r="H12" s="171">
        <v>-61.70966</v>
      </c>
      <c r="I12" s="178">
        <v>-25.957788999999998</v>
      </c>
      <c r="J12" s="171">
        <v>-117.27139</v>
      </c>
      <c r="K12" s="178">
        <v>-232.33348899999999</v>
      </c>
      <c r="L12" s="171">
        <v>-147.007822</v>
      </c>
      <c r="M12" s="178">
        <v>-361.33734099999998</v>
      </c>
      <c r="N12" s="113">
        <v>-511</v>
      </c>
      <c r="O12" s="106"/>
      <c r="P12" s="113"/>
      <c r="Q12" s="194"/>
      <c r="T12" s="137">
        <f t="shared" si="0"/>
        <v>-300.93947462068519</v>
      </c>
      <c r="U12" s="106">
        <f t="shared" si="1"/>
        <v>-570.07544755380343</v>
      </c>
      <c r="V12" s="113">
        <f t="shared" si="2"/>
        <v>-796.85678295830348</v>
      </c>
      <c r="W12" s="194">
        <f t="shared" si="3"/>
        <v>-1064.3544225607193</v>
      </c>
      <c r="X12" s="113">
        <f t="shared" si="4"/>
        <v>-198.40420538211751</v>
      </c>
      <c r="Y12" s="194">
        <f t="shared" si="5"/>
        <v>-82.647061258278143</v>
      </c>
      <c r="Z12" s="113">
        <f t="shared" si="6"/>
        <v>-369.31218114253318</v>
      </c>
      <c r="AA12" s="194">
        <f t="shared" si="7"/>
        <v>-728.61507510897854</v>
      </c>
      <c r="AB12" s="113">
        <f t="shared" si="8"/>
        <v>-462.18700914892952</v>
      </c>
      <c r="AC12" s="194">
        <f t="shared" si="8"/>
        <v>-1127.1714165392893</v>
      </c>
      <c r="AD12" s="113">
        <f t="shared" si="8"/>
        <v>-1581.2600569377398</v>
      </c>
      <c r="AE12" s="106"/>
    </row>
    <row r="13" spans="1:31" outlineLevel="1" x14ac:dyDescent="0.25">
      <c r="B13" s="90" t="s">
        <v>120</v>
      </c>
      <c r="C13" s="90" t="s">
        <v>155</v>
      </c>
      <c r="D13" s="170">
        <v>225.90310199999979</v>
      </c>
      <c r="E13" s="174">
        <v>802.70811900000012</v>
      </c>
      <c r="F13" s="170">
        <v>734.02554399999951</v>
      </c>
      <c r="G13" s="174">
        <v>1032.8294050000002</v>
      </c>
      <c r="H13" s="170">
        <v>183.68719399999992</v>
      </c>
      <c r="I13" s="174">
        <v>551.4617430000003</v>
      </c>
      <c r="J13" s="170">
        <v>518.74736800000005</v>
      </c>
      <c r="K13" s="174">
        <v>805.89233099999899</v>
      </c>
      <c r="L13" s="170">
        <v>53.899886999999865</v>
      </c>
      <c r="M13" s="174">
        <v>773.01837299999966</v>
      </c>
      <c r="N13" s="212">
        <v>661</v>
      </c>
      <c r="O13" s="86"/>
      <c r="P13" s="153"/>
      <c r="Q13" s="157"/>
      <c r="T13" s="114">
        <f t="shared" si="0"/>
        <v>730.81783830998609</v>
      </c>
      <c r="U13" s="86">
        <f t="shared" si="1"/>
        <v>2593.899434498805</v>
      </c>
      <c r="V13" s="114">
        <f t="shared" si="2"/>
        <v>2379.9544257830216</v>
      </c>
      <c r="W13" s="195">
        <f t="shared" si="3"/>
        <v>3340.2199314381819</v>
      </c>
      <c r="X13" s="114">
        <f t="shared" si="4"/>
        <v>590.5770954570296</v>
      </c>
      <c r="Y13" s="195">
        <f t="shared" si="5"/>
        <v>1755.800251528274</v>
      </c>
      <c r="Z13" s="114">
        <f t="shared" si="6"/>
        <v>1633.6441645147067</v>
      </c>
      <c r="AA13" s="195">
        <f t="shared" si="7"/>
        <v>2527.3381973845107</v>
      </c>
      <c r="AB13" s="114">
        <f t="shared" si="8"/>
        <v>169.45919766089185</v>
      </c>
      <c r="AC13" s="195">
        <f t="shared" si="8"/>
        <v>2411.3871322955974</v>
      </c>
      <c r="AD13" s="114">
        <f t="shared" si="8"/>
        <v>2045.4264141601684</v>
      </c>
      <c r="AE13" s="86"/>
    </row>
    <row r="14" spans="1:31" outlineLevel="1" x14ac:dyDescent="0.25">
      <c r="B14" s="96" t="s">
        <v>122</v>
      </c>
      <c r="C14" s="96" t="s">
        <v>156</v>
      </c>
      <c r="D14" s="171">
        <v>-287.95242300000001</v>
      </c>
      <c r="E14" s="178">
        <v>-215.85485499999999</v>
      </c>
      <c r="F14" s="171">
        <v>-211.40517</v>
      </c>
      <c r="G14" s="178">
        <v>-117.87471600000001</v>
      </c>
      <c r="H14" s="171">
        <v>-51.014071000000001</v>
      </c>
      <c r="I14" s="178">
        <v>-200.574298</v>
      </c>
      <c r="J14" s="171">
        <v>-216.30257399999999</v>
      </c>
      <c r="K14" s="178">
        <v>-275.81400000000002</v>
      </c>
      <c r="L14" s="171">
        <v>-77.511156</v>
      </c>
      <c r="M14" s="178">
        <v>-289.70930399999997</v>
      </c>
      <c r="N14" s="171">
        <v>-298</v>
      </c>
      <c r="O14" s="106"/>
      <c r="P14" s="113"/>
      <c r="Q14" s="194"/>
      <c r="T14" s="137">
        <f t="shared" si="0"/>
        <v>-931.55324318203884</v>
      </c>
      <c r="U14" s="106">
        <f t="shared" si="1"/>
        <v>-697.52102048730046</v>
      </c>
      <c r="V14" s="113">
        <f t="shared" si="2"/>
        <v>-685.44572336424346</v>
      </c>
      <c r="W14" s="194">
        <f t="shared" si="3"/>
        <v>-381.21249636169597</v>
      </c>
      <c r="X14" s="113">
        <f t="shared" si="4"/>
        <v>-164.01656110343055</v>
      </c>
      <c r="Y14" s="194">
        <f t="shared" si="5"/>
        <v>-638.60894676515545</v>
      </c>
      <c r="Z14" s="113">
        <f t="shared" si="6"/>
        <v>-681.18213138502222</v>
      </c>
      <c r="AA14" s="194">
        <f t="shared" si="7"/>
        <v>-864.97318656505797</v>
      </c>
      <c r="AB14" s="113">
        <f t="shared" si="8"/>
        <v>-243.69213066306159</v>
      </c>
      <c r="AC14" s="194">
        <f t="shared" si="8"/>
        <v>-903.73180272639354</v>
      </c>
      <c r="AD14" s="113">
        <f t="shared" si="8"/>
        <v>-922.14382968189125</v>
      </c>
      <c r="AE14" s="106"/>
    </row>
    <row r="15" spans="1:31" ht="30" outlineLevel="1" x14ac:dyDescent="0.25">
      <c r="B15" s="90" t="s">
        <v>124</v>
      </c>
      <c r="C15" s="90" t="s">
        <v>157</v>
      </c>
      <c r="D15" s="172">
        <v>-62.049321000000219</v>
      </c>
      <c r="E15" s="179">
        <v>586.85326400000008</v>
      </c>
      <c r="F15" s="172">
        <v>522.62037399999952</v>
      </c>
      <c r="G15" s="179">
        <v>914.95468900000014</v>
      </c>
      <c r="H15" s="172">
        <v>132.67312299999992</v>
      </c>
      <c r="I15" s="179">
        <v>350.8874450000003</v>
      </c>
      <c r="J15" s="172">
        <v>303</v>
      </c>
      <c r="K15" s="179">
        <v>530.07833099999903</v>
      </c>
      <c r="L15" s="172">
        <v>-23.611269000000135</v>
      </c>
      <c r="M15" s="179">
        <v>483.30906899999968</v>
      </c>
      <c r="N15" s="172">
        <v>363</v>
      </c>
      <c r="O15" s="86"/>
      <c r="P15" s="153"/>
      <c r="Q15" s="157"/>
      <c r="T15" s="114">
        <f t="shared" si="0"/>
        <v>-200.73540487205273</v>
      </c>
      <c r="U15" s="86">
        <f t="shared" si="1"/>
        <v>1896.3784140115042</v>
      </c>
      <c r="V15" s="114">
        <f t="shared" si="2"/>
        <v>1694.5087024187778</v>
      </c>
      <c r="W15" s="195">
        <f t="shared" si="3"/>
        <v>2959.0074350764862</v>
      </c>
      <c r="X15" s="114">
        <f t="shared" si="4"/>
        <v>426.56053435359911</v>
      </c>
      <c r="Y15" s="195">
        <f t="shared" si="5"/>
        <v>1117.1913047631188</v>
      </c>
      <c r="Z15" s="114">
        <f t="shared" si="6"/>
        <v>954.2104931662152</v>
      </c>
      <c r="AA15" s="195">
        <f t="shared" si="7"/>
        <v>1662.3650108194531</v>
      </c>
      <c r="AB15" s="114">
        <f t="shared" si="8"/>
        <v>-74.232933002169759</v>
      </c>
      <c r="AC15" s="195">
        <f t="shared" si="8"/>
        <v>1507.6553295692038</v>
      </c>
      <c r="AD15" s="114">
        <f t="shared" si="8"/>
        <v>1123.2825844782769</v>
      </c>
      <c r="AE15" s="86"/>
    </row>
    <row r="16" spans="1:31" ht="30" outlineLevel="1" x14ac:dyDescent="0.25">
      <c r="B16" s="97" t="s">
        <v>126</v>
      </c>
      <c r="C16" s="96" t="s">
        <v>158</v>
      </c>
      <c r="D16" s="173">
        <v>-61.606999000000002</v>
      </c>
      <c r="E16" s="180">
        <v>588.32684300000005</v>
      </c>
      <c r="F16" s="173">
        <v>524.43603960000007</v>
      </c>
      <c r="G16" s="180">
        <v>912.52596700000004</v>
      </c>
      <c r="H16" s="173">
        <v>132.9661706</v>
      </c>
      <c r="I16" s="180">
        <v>351.81632500000001</v>
      </c>
      <c r="J16" s="173">
        <v>304</v>
      </c>
      <c r="K16" s="180">
        <v>511.26202000000001</v>
      </c>
      <c r="L16" s="173">
        <v>-23.343465999999999</v>
      </c>
      <c r="M16" s="180">
        <v>483.57687199999998</v>
      </c>
      <c r="N16" s="173">
        <v>365</v>
      </c>
      <c r="O16" s="106"/>
      <c r="P16" s="113"/>
      <c r="Q16" s="194"/>
      <c r="T16" s="137">
        <f t="shared" si="0"/>
        <v>-199.30445148976091</v>
      </c>
      <c r="U16" s="106">
        <f t="shared" si="1"/>
        <v>1901.1401893621148</v>
      </c>
      <c r="V16" s="113">
        <f t="shared" si="2"/>
        <v>1700.395692886324</v>
      </c>
      <c r="W16" s="194">
        <f t="shared" si="3"/>
        <v>2951.1528314090751</v>
      </c>
      <c r="X16" s="113">
        <f t="shared" si="4"/>
        <v>427.50271870880624</v>
      </c>
      <c r="Y16" s="194">
        <f t="shared" si="5"/>
        <v>1120.1487678298522</v>
      </c>
      <c r="Z16" s="113">
        <f t="shared" si="6"/>
        <v>957.35970271461861</v>
      </c>
      <c r="AA16" s="194">
        <f t="shared" si="7"/>
        <v>1603.3556621820803</v>
      </c>
      <c r="AB16" s="113">
        <f t="shared" si="8"/>
        <v>-73.390970541075859</v>
      </c>
      <c r="AC16" s="194">
        <f t="shared" si="8"/>
        <v>1508.4907258945004</v>
      </c>
      <c r="AD16" s="113">
        <f t="shared" si="8"/>
        <v>1129.4714692412426</v>
      </c>
      <c r="AE16" s="106"/>
    </row>
    <row r="17" spans="1:31" ht="30" outlineLevel="1" x14ac:dyDescent="0.25">
      <c r="B17" s="98" t="s">
        <v>159</v>
      </c>
      <c r="C17" s="98" t="s">
        <v>160</v>
      </c>
      <c r="D17" s="171">
        <v>-0.44232200000021749</v>
      </c>
      <c r="E17" s="178">
        <v>-1.4735789999999724</v>
      </c>
      <c r="F17" s="171">
        <v>-1.8156656000005569</v>
      </c>
      <c r="G17" s="178">
        <v>2.4287220000001071</v>
      </c>
      <c r="H17" s="171">
        <v>-0.29304760000007946</v>
      </c>
      <c r="I17" s="178">
        <v>-0.92887999999970816</v>
      </c>
      <c r="J17" s="171">
        <v>-0.71469199999887678</v>
      </c>
      <c r="K17" s="178">
        <v>18.816310999999018</v>
      </c>
      <c r="L17" s="171">
        <v>-0.26780300000013568</v>
      </c>
      <c r="M17" s="178">
        <v>-0.26780300000029911</v>
      </c>
      <c r="N17" s="171">
        <v>-2</v>
      </c>
      <c r="O17" s="107"/>
      <c r="P17" s="159"/>
      <c r="Q17" s="202"/>
      <c r="T17" s="138">
        <f t="shared" si="0"/>
        <v>-1.4309533822917975</v>
      </c>
      <c r="U17" s="107">
        <f t="shared" si="1"/>
        <v>-4.7617753506106526</v>
      </c>
      <c r="V17" s="115">
        <f t="shared" si="2"/>
        <v>-5.8869904675460631</v>
      </c>
      <c r="W17" s="196">
        <f t="shared" si="3"/>
        <v>7.8546036674108457</v>
      </c>
      <c r="X17" s="115">
        <f t="shared" si="4"/>
        <v>-0.94218435520714872</v>
      </c>
      <c r="Y17" s="196">
        <f t="shared" si="5"/>
        <v>-2.9574630667336606</v>
      </c>
      <c r="Z17" s="115">
        <f t="shared" si="6"/>
        <v>-2.2507148705639506</v>
      </c>
      <c r="AA17" s="196">
        <f t="shared" si="7"/>
        <v>59.009348637372653</v>
      </c>
      <c r="AB17" s="115">
        <f t="shared" si="8"/>
        <v>-0.84196246109389661</v>
      </c>
      <c r="AC17" s="196">
        <f t="shared" si="8"/>
        <v>-0.83539632529650032</v>
      </c>
      <c r="AD17" s="115">
        <f t="shared" si="8"/>
        <v>-6.1888847629657127</v>
      </c>
      <c r="AE17" s="107"/>
    </row>
    <row r="18" spans="1:31" ht="15.75" outlineLevel="1" thickBot="1" x14ac:dyDescent="0.3">
      <c r="B18" s="96" t="s">
        <v>161</v>
      </c>
      <c r="C18" s="96" t="s">
        <v>162</v>
      </c>
      <c r="D18" s="171">
        <v>-360.79593499999999</v>
      </c>
      <c r="E18" s="178">
        <v>-591.428675</v>
      </c>
      <c r="F18" s="171">
        <v>-428.63687599999997</v>
      </c>
      <c r="G18" s="178">
        <v>-479.54411900000002</v>
      </c>
      <c r="H18" s="171">
        <v>-86.041819000000004</v>
      </c>
      <c r="I18" s="178">
        <v>322.11162000000002</v>
      </c>
      <c r="J18" s="171">
        <v>322.11162000000002</v>
      </c>
      <c r="K18" s="178">
        <v>-259.631775</v>
      </c>
      <c r="L18" s="171">
        <v>-1061.3122229999999</v>
      </c>
      <c r="M18" s="178">
        <v>-1061.3122229999999</v>
      </c>
      <c r="N18" s="171">
        <v>-1043</v>
      </c>
      <c r="O18" s="106"/>
      <c r="P18" s="113"/>
      <c r="Q18" s="194"/>
      <c r="T18" s="137">
        <f t="shared" si="0"/>
        <v>-1167.208873863673</v>
      </c>
      <c r="U18" s="106">
        <f t="shared" si="1"/>
        <v>-1911.1635591029537</v>
      </c>
      <c r="V18" s="113">
        <f t="shared" si="2"/>
        <v>-1389.7830101809218</v>
      </c>
      <c r="W18" s="194">
        <f t="shared" si="3"/>
        <v>-1550.8687267552798</v>
      </c>
      <c r="X18" s="113">
        <f t="shared" si="4"/>
        <v>-276.63511236858187</v>
      </c>
      <c r="Y18" s="194">
        <f t="shared" si="5"/>
        <v>1025.571892511462</v>
      </c>
      <c r="Z18" s="113">
        <f t="shared" si="6"/>
        <v>1014.3969893556717</v>
      </c>
      <c r="AA18" s="194">
        <f t="shared" si="7"/>
        <v>-814.22452723680499</v>
      </c>
      <c r="AB18" s="113">
        <f t="shared" si="8"/>
        <v>-3336.7253214701163</v>
      </c>
      <c r="AC18" s="194">
        <f t="shared" si="8"/>
        <v>-3310.7035062544837</v>
      </c>
      <c r="AD18" s="113">
        <f t="shared" si="8"/>
        <v>-3227.5034038866193</v>
      </c>
      <c r="AE18" s="106"/>
    </row>
    <row r="19" spans="1:31" ht="31.5" outlineLevel="1" thickTop="1" thickBot="1" x14ac:dyDescent="0.3">
      <c r="B19" s="91" t="s">
        <v>133</v>
      </c>
      <c r="C19" s="91" t="s">
        <v>163</v>
      </c>
      <c r="D19" s="187">
        <v>-422.84525600000018</v>
      </c>
      <c r="E19" s="181">
        <v>-4.5754109999999173</v>
      </c>
      <c r="F19" s="187">
        <v>93.983497999999543</v>
      </c>
      <c r="G19" s="181">
        <v>435.41057000000012</v>
      </c>
      <c r="H19" s="187">
        <v>46.631303999999915</v>
      </c>
      <c r="I19" s="181">
        <v>672.99906500000031</v>
      </c>
      <c r="J19" s="187">
        <v>625.11162000000002</v>
      </c>
      <c r="K19" s="181">
        <v>270.44655599999902</v>
      </c>
      <c r="L19" s="187">
        <v>-1084.9234920000001</v>
      </c>
      <c r="M19" s="181">
        <v>-578.00315400000022</v>
      </c>
      <c r="N19" s="187">
        <v>-680</v>
      </c>
      <c r="O19" s="87"/>
      <c r="P19" s="153"/>
      <c r="Q19" s="157"/>
      <c r="T19" s="116">
        <f t="shared" si="0"/>
        <v>-1367.9442787357257</v>
      </c>
      <c r="U19" s="87">
        <f t="shared" si="1"/>
        <v>-14.785145091449357</v>
      </c>
      <c r="V19" s="116">
        <f t="shared" si="2"/>
        <v>304.72569223785592</v>
      </c>
      <c r="W19" s="197">
        <f t="shared" si="3"/>
        <v>1408.1387083212062</v>
      </c>
      <c r="X19" s="116">
        <f t="shared" si="4"/>
        <v>149.92542198501727</v>
      </c>
      <c r="Y19" s="197">
        <f t="shared" si="5"/>
        <v>2142.7631972745808</v>
      </c>
      <c r="Z19" s="116">
        <f t="shared" si="6"/>
        <v>1968.6074825218868</v>
      </c>
      <c r="AA19" s="197">
        <f t="shared" si="7"/>
        <v>848.14048358264813</v>
      </c>
      <c r="AB19" s="116">
        <f t="shared" si="8"/>
        <v>-3410.9582544722862</v>
      </c>
      <c r="AC19" s="197">
        <f t="shared" si="8"/>
        <v>-1803.0481766852802</v>
      </c>
      <c r="AD19" s="116">
        <f t="shared" si="8"/>
        <v>-2104.2208194083423</v>
      </c>
      <c r="AE19" s="87"/>
    </row>
    <row r="20" spans="1:31" ht="30.75" outlineLevel="1" thickTop="1" x14ac:dyDescent="0.25">
      <c r="B20" s="96" t="s">
        <v>126</v>
      </c>
      <c r="C20" s="96" t="s">
        <v>158</v>
      </c>
      <c r="D20" s="185">
        <v>-422.40293400000002</v>
      </c>
      <c r="E20" s="176">
        <v>-3.1018319999999999</v>
      </c>
      <c r="F20" s="185">
        <v>95.7991636</v>
      </c>
      <c r="G20" s="176">
        <v>432.98184800000001</v>
      </c>
      <c r="H20" s="185">
        <v>46.924351600000001</v>
      </c>
      <c r="I20" s="176">
        <v>673.92794500000002</v>
      </c>
      <c r="J20" s="185">
        <v>625.51848700000005</v>
      </c>
      <c r="K20" s="176">
        <v>251.58546200000001</v>
      </c>
      <c r="L20" s="185">
        <v>-1084.6556889999999</v>
      </c>
      <c r="M20" s="176">
        <v>-577.73535100000004</v>
      </c>
      <c r="N20" s="185">
        <v>-678</v>
      </c>
      <c r="O20" s="106"/>
      <c r="P20" s="113"/>
      <c r="Q20" s="194"/>
      <c r="T20" s="137">
        <f t="shared" si="0"/>
        <v>-1366.5133253534341</v>
      </c>
      <c r="U20" s="106">
        <f t="shared" si="1"/>
        <v>-10.023369740838881</v>
      </c>
      <c r="V20" s="113">
        <f t="shared" si="2"/>
        <v>310.61268270540171</v>
      </c>
      <c r="W20" s="194">
        <f t="shared" si="3"/>
        <v>1400.2841046537953</v>
      </c>
      <c r="X20" s="113">
        <f t="shared" si="4"/>
        <v>150.86760634022446</v>
      </c>
      <c r="Y20" s="194">
        <f t="shared" si="5"/>
        <v>2145.7206603413142</v>
      </c>
      <c r="Z20" s="113">
        <f t="shared" si="6"/>
        <v>1969.8887919632173</v>
      </c>
      <c r="AA20" s="194">
        <f t="shared" si="7"/>
        <v>788.99069213158964</v>
      </c>
      <c r="AB20" s="113">
        <f t="shared" si="8"/>
        <v>-3410.1162920111924</v>
      </c>
      <c r="AC20" s="194">
        <f t="shared" si="8"/>
        <v>-1802.212780359984</v>
      </c>
      <c r="AD20" s="113">
        <f t="shared" si="8"/>
        <v>-2098.0319346453771</v>
      </c>
      <c r="AE20" s="106"/>
    </row>
    <row r="21" spans="1:31" ht="30.75" outlineLevel="1" thickBot="1" x14ac:dyDescent="0.3">
      <c r="B21" s="96" t="s">
        <v>159</v>
      </c>
      <c r="C21" s="98" t="s">
        <v>160</v>
      </c>
      <c r="D21" s="186">
        <v>-0.44232200000016064</v>
      </c>
      <c r="E21" s="177">
        <v>-1.4735789999999174</v>
      </c>
      <c r="F21" s="186">
        <v>-1.8156656000004574</v>
      </c>
      <c r="G21" s="177">
        <v>2.4287220000001071</v>
      </c>
      <c r="H21" s="186">
        <v>-0.29304760000008656</v>
      </c>
      <c r="I21" s="177">
        <v>-0.92887999999970816</v>
      </c>
      <c r="J21" s="186">
        <v>-0.71469199999887678</v>
      </c>
      <c r="K21" s="177">
        <v>18.861093999999014</v>
      </c>
      <c r="L21" s="186">
        <v>-0.26780300000018542</v>
      </c>
      <c r="M21" s="177">
        <v>-0.26780300000018542</v>
      </c>
      <c r="N21" s="186">
        <v>-2</v>
      </c>
      <c r="O21" s="186">
        <f t="shared" ref="O21" si="9">O19-O20</f>
        <v>0</v>
      </c>
      <c r="P21" s="113"/>
      <c r="Q21" s="194"/>
      <c r="T21" s="137">
        <f t="shared" si="0"/>
        <v>-1.4309533822916136</v>
      </c>
      <c r="U21" s="106">
        <f t="shared" si="1"/>
        <v>-4.761775350610475</v>
      </c>
      <c r="V21" s="113">
        <f t="shared" si="2"/>
        <v>-5.8869904675457407</v>
      </c>
      <c r="W21" s="194">
        <f t="shared" si="3"/>
        <v>7.8546036674108457</v>
      </c>
      <c r="X21" s="113">
        <f t="shared" si="4"/>
        <v>-0.94218435520717159</v>
      </c>
      <c r="Y21" s="194">
        <f t="shared" si="5"/>
        <v>-2.9574630667336606</v>
      </c>
      <c r="Z21" s="113">
        <f t="shared" si="6"/>
        <v>-2.2507148705639506</v>
      </c>
      <c r="AA21" s="194">
        <f t="shared" si="7"/>
        <v>59.149791451058469</v>
      </c>
      <c r="AB21" s="113">
        <f t="shared" si="8"/>
        <v>-0.84196246109405293</v>
      </c>
      <c r="AC21" s="194">
        <f t="shared" si="8"/>
        <v>-0.83539632529614571</v>
      </c>
      <c r="AD21" s="113">
        <f t="shared" si="8"/>
        <v>-6.1888847629657127</v>
      </c>
      <c r="AE21" s="106"/>
    </row>
    <row r="22" spans="1:31" ht="16.5" outlineLevel="1" thickTop="1" thickBot="1" x14ac:dyDescent="0.3">
      <c r="B22" s="91" t="s">
        <v>140</v>
      </c>
      <c r="C22" s="91" t="s">
        <v>140</v>
      </c>
      <c r="D22" s="187">
        <v>469.15931099999978</v>
      </c>
      <c r="E22" s="181">
        <v>1263.3707420000001</v>
      </c>
      <c r="F22" s="187">
        <v>1399.6039349999996</v>
      </c>
      <c r="G22" s="181">
        <v>1934.9535209999999</v>
      </c>
      <c r="H22" s="187">
        <v>405.07730499999991</v>
      </c>
      <c r="I22" s="181">
        <v>936.13325000000032</v>
      </c>
      <c r="J22" s="187">
        <v>1166.353936</v>
      </c>
      <c r="K22" s="181">
        <v>1800.566902999999</v>
      </c>
      <c r="L22" s="187">
        <v>453.83241499999986</v>
      </c>
      <c r="M22" s="181">
        <v>2122.8434949999996</v>
      </c>
      <c r="N22" s="187">
        <v>2799</v>
      </c>
      <c r="O22" s="87"/>
      <c r="P22" s="153"/>
      <c r="Q22" s="157"/>
      <c r="T22" s="116">
        <f t="shared" si="0"/>
        <v>1517.7746142150036</v>
      </c>
      <c r="U22" s="87">
        <f t="shared" si="1"/>
        <v>4082.500943579138</v>
      </c>
      <c r="V22" s="116">
        <f t="shared" si="2"/>
        <v>4537.9804649503913</v>
      </c>
      <c r="W22" s="197">
        <f t="shared" si="3"/>
        <v>6257.7326768215771</v>
      </c>
      <c r="X22" s="116">
        <f t="shared" si="4"/>
        <v>1302.373742082757</v>
      </c>
      <c r="Y22" s="197">
        <f t="shared" si="5"/>
        <v>2980.5567052980141</v>
      </c>
      <c r="Z22" s="116">
        <f t="shared" si="6"/>
        <v>3673.0929520690302</v>
      </c>
      <c r="AA22" s="197">
        <f t="shared" si="7"/>
        <v>5646.711521936837</v>
      </c>
      <c r="AB22" s="116">
        <f t="shared" si="8"/>
        <v>1426.8318766309299</v>
      </c>
      <c r="AC22" s="197">
        <f t="shared" si="8"/>
        <v>6622.090323486289</v>
      </c>
      <c r="AD22" s="116">
        <f t="shared" si="8"/>
        <v>8661.3442257705155</v>
      </c>
      <c r="AE22" s="87"/>
    </row>
    <row r="23" spans="1:31" ht="15.75" outlineLevel="1" thickTop="1" x14ac:dyDescent="0.25">
      <c r="B23" s="151"/>
      <c r="C23" s="151"/>
      <c r="D23" s="153"/>
      <c r="E23" s="157"/>
      <c r="F23" s="153"/>
      <c r="G23" s="157"/>
      <c r="H23" s="153"/>
      <c r="I23" s="157"/>
      <c r="J23" s="153"/>
      <c r="K23" s="157"/>
      <c r="L23" s="153"/>
      <c r="M23" s="157"/>
      <c r="N23" s="153"/>
      <c r="O23" s="154"/>
      <c r="P23" s="153"/>
      <c r="Q23" s="157"/>
      <c r="T23" s="153"/>
      <c r="U23" s="154"/>
      <c r="V23" s="153"/>
      <c r="W23" s="154"/>
      <c r="X23" s="153"/>
      <c r="Y23" s="154"/>
      <c r="Z23" s="153"/>
      <c r="AA23" s="154"/>
      <c r="AB23" s="153"/>
      <c r="AC23" s="154"/>
      <c r="AD23" s="153"/>
      <c r="AE23" s="154"/>
    </row>
    <row r="24" spans="1:31" outlineLevel="1" x14ac:dyDescent="0.25">
      <c r="B24" s="25" t="s">
        <v>316</v>
      </c>
      <c r="D24" s="188">
        <v>15631176</v>
      </c>
      <c r="E24" s="182">
        <v>15631176</v>
      </c>
      <c r="F24" s="188">
        <v>15631176</v>
      </c>
      <c r="G24" s="182">
        <v>15631176</v>
      </c>
      <c r="H24" s="188">
        <v>15631176</v>
      </c>
      <c r="I24" s="182">
        <v>15631176</v>
      </c>
      <c r="J24" s="188">
        <v>15628179</v>
      </c>
      <c r="K24" s="182">
        <v>15624379</v>
      </c>
      <c r="L24" s="188">
        <v>15790216.444444444</v>
      </c>
      <c r="M24" s="182">
        <v>17207622.668508288</v>
      </c>
      <c r="N24" s="188">
        <v>0</v>
      </c>
      <c r="O24" s="154"/>
      <c r="P24" s="153"/>
      <c r="Q24" s="157"/>
      <c r="T24" s="157"/>
      <c r="U24" s="154"/>
      <c r="V24" s="157"/>
      <c r="W24" s="157"/>
      <c r="X24" s="157"/>
      <c r="Y24" s="157"/>
      <c r="Z24" s="157"/>
      <c r="AA24" s="157"/>
      <c r="AB24" s="157"/>
      <c r="AC24" s="157"/>
      <c r="AD24" s="157"/>
      <c r="AE24" s="154"/>
    </row>
    <row r="25" spans="1:31" outlineLevel="1" x14ac:dyDescent="0.25">
      <c r="B25" s="25" t="s">
        <v>317</v>
      </c>
      <c r="D25" s="188">
        <v>16401200</v>
      </c>
      <c r="E25" s="182">
        <v>16401200</v>
      </c>
      <c r="F25" s="188">
        <v>16401200</v>
      </c>
      <c r="G25" s="182">
        <v>16401200</v>
      </c>
      <c r="H25" s="188">
        <v>16401200</v>
      </c>
      <c r="I25" s="182">
        <v>16401200</v>
      </c>
      <c r="J25" s="188">
        <v>16401200</v>
      </c>
      <c r="K25" s="182">
        <v>16401200</v>
      </c>
      <c r="L25" s="188">
        <v>16567037.444444444</v>
      </c>
      <c r="M25" s="182">
        <v>17984443.668508288</v>
      </c>
      <c r="N25" s="188">
        <v>0</v>
      </c>
      <c r="O25" s="154"/>
      <c r="P25" s="153"/>
      <c r="Q25" s="157"/>
      <c r="T25" s="157"/>
      <c r="U25" s="154"/>
      <c r="V25" s="157"/>
      <c r="W25" s="157"/>
      <c r="X25" s="157"/>
      <c r="Y25" s="157"/>
      <c r="Z25" s="157"/>
      <c r="AA25" s="157"/>
      <c r="AB25" s="157"/>
      <c r="AC25" s="157"/>
      <c r="AD25" s="157"/>
      <c r="AE25" s="154"/>
    </row>
    <row r="26" spans="1:31" outlineLevel="1" x14ac:dyDescent="0.25">
      <c r="B26" s="36"/>
      <c r="D26" s="189"/>
      <c r="E26" s="183"/>
      <c r="F26" s="189"/>
      <c r="G26" s="183"/>
      <c r="H26" s="189"/>
      <c r="I26" s="183"/>
      <c r="J26" s="189"/>
      <c r="K26" s="183"/>
      <c r="L26" s="189"/>
      <c r="M26" s="183"/>
      <c r="N26" s="153"/>
      <c r="O26" s="154"/>
      <c r="P26" s="153"/>
      <c r="Q26" s="157"/>
      <c r="T26" s="157"/>
      <c r="U26" s="154"/>
      <c r="V26" s="157"/>
      <c r="W26" s="157"/>
      <c r="X26" s="157"/>
      <c r="Y26" s="157"/>
      <c r="Z26" s="157"/>
      <c r="AA26" s="157"/>
      <c r="AB26" s="157"/>
      <c r="AC26" s="157"/>
      <c r="AD26" s="157"/>
      <c r="AE26" s="154"/>
    </row>
    <row r="27" spans="1:31" outlineLevel="1" x14ac:dyDescent="0.25">
      <c r="B27" s="37" t="s">
        <v>164</v>
      </c>
      <c r="D27" s="201">
        <v>-3.9412900859154809</v>
      </c>
      <c r="E27" s="201">
        <v>37.638040989366381</v>
      </c>
      <c r="F27" s="201">
        <v>33.55064517218667</v>
      </c>
      <c r="G27" s="201">
        <v>58.378586934214034</v>
      </c>
      <c r="H27" s="201">
        <v>8.5064726160079065</v>
      </c>
      <c r="I27" s="201">
        <v>22.507348455420118</v>
      </c>
      <c r="J27" s="201">
        <v>19.452042365268532</v>
      </c>
      <c r="K27" s="201">
        <v>32.722069785941578</v>
      </c>
      <c r="L27" s="201">
        <v>-1.478349969560617</v>
      </c>
      <c r="M27" s="201">
        <v>28.102480006433151</v>
      </c>
      <c r="N27" s="201">
        <v>20.61</v>
      </c>
      <c r="O27" s="201"/>
      <c r="P27" s="153"/>
      <c r="Q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4"/>
    </row>
    <row r="28" spans="1:31" outlineLevel="1" x14ac:dyDescent="0.25">
      <c r="B28" s="37" t="s">
        <v>165</v>
      </c>
      <c r="D28" s="201">
        <v>-3.7562494817452383</v>
      </c>
      <c r="E28" s="201">
        <v>35.870963283174405</v>
      </c>
      <c r="F28" s="201">
        <v>31.975467624320178</v>
      </c>
      <c r="G28" s="201">
        <v>55.6377562007658</v>
      </c>
      <c r="H28" s="201">
        <v>8.10710012681999</v>
      </c>
      <c r="I28" s="201">
        <v>21.450645379606371</v>
      </c>
      <c r="J28" s="201">
        <v>18.535229129575885</v>
      </c>
      <c r="K28" s="201">
        <v>31.17223251957174</v>
      </c>
      <c r="L28" s="201">
        <v>-1.4090307985528185</v>
      </c>
      <c r="M28" s="201">
        <v>26.888620015906785</v>
      </c>
      <c r="N28" s="201">
        <v>19.75</v>
      </c>
      <c r="O28" s="201"/>
      <c r="P28" s="153"/>
      <c r="Q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4"/>
    </row>
    <row r="29" spans="1:31" outlineLevel="1" x14ac:dyDescent="0.25">
      <c r="B29" s="151"/>
      <c r="C29" s="151"/>
      <c r="D29" s="153"/>
      <c r="E29" s="157"/>
      <c r="F29" s="153"/>
      <c r="G29" s="157"/>
      <c r="H29" s="153"/>
      <c r="I29" s="157"/>
      <c r="J29" s="153"/>
      <c r="K29" s="157"/>
      <c r="L29" s="153"/>
      <c r="M29" s="157"/>
      <c r="N29" s="153"/>
      <c r="O29" s="154"/>
      <c r="P29" s="153"/>
      <c r="Q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4"/>
    </row>
    <row r="30" spans="1:31" x14ac:dyDescent="0.25">
      <c r="D30" s="126"/>
      <c r="E30" s="108"/>
      <c r="F30" s="126"/>
      <c r="G30" s="126"/>
      <c r="H30" s="126"/>
      <c r="I30" s="126"/>
      <c r="J30" s="126"/>
      <c r="K30" s="126"/>
      <c r="L30" s="126"/>
      <c r="M30" s="126"/>
      <c r="N30" s="126"/>
      <c r="O30" s="108"/>
      <c r="P30" s="126"/>
      <c r="Q30" s="126"/>
      <c r="S30" s="200" t="s">
        <v>323</v>
      </c>
      <c r="T30" s="198">
        <v>308.7</v>
      </c>
      <c r="U30" s="198">
        <v>308.87</v>
      </c>
      <c r="V30" s="198">
        <v>311.23</v>
      </c>
      <c r="W30" s="198">
        <f>'éves P&amp;L_mérleg'!O3</f>
        <v>310.14</v>
      </c>
      <c r="X30" s="199">
        <v>312.55</v>
      </c>
      <c r="Y30" s="198">
        <v>328.6</v>
      </c>
      <c r="Z30" s="199">
        <v>323.77999999999997</v>
      </c>
      <c r="AA30" s="198">
        <f>'éves P&amp;L_mérleg'!P3</f>
        <v>321.51</v>
      </c>
      <c r="AB30" s="199">
        <v>320.79000000000002</v>
      </c>
      <c r="AC30" s="198">
        <v>323.54000000000002</v>
      </c>
      <c r="AD30" s="199">
        <v>334.65</v>
      </c>
      <c r="AE30" s="108"/>
    </row>
    <row r="31" spans="1:31" x14ac:dyDescent="0.25">
      <c r="A31" s="1" t="s">
        <v>0</v>
      </c>
      <c r="B31" s="163"/>
      <c r="C31" s="163" t="s">
        <v>1</v>
      </c>
      <c r="D31" s="141">
        <v>42825</v>
      </c>
      <c r="E31" s="141">
        <v>42916</v>
      </c>
      <c r="F31" s="141">
        <v>43008</v>
      </c>
      <c r="G31" s="141">
        <v>43100</v>
      </c>
      <c r="H31" s="141">
        <v>43190</v>
      </c>
      <c r="I31" s="141">
        <v>43281</v>
      </c>
      <c r="J31" s="141">
        <v>43373</v>
      </c>
      <c r="K31" s="141">
        <v>43465</v>
      </c>
      <c r="L31" s="141">
        <v>43555</v>
      </c>
      <c r="M31" s="141">
        <v>43646</v>
      </c>
      <c r="N31" s="141">
        <v>43738</v>
      </c>
      <c r="O31" s="141"/>
      <c r="P31" s="141"/>
      <c r="Q31" s="141"/>
      <c r="R31" s="142"/>
      <c r="S31" s="142"/>
      <c r="T31" s="141">
        <v>42825</v>
      </c>
      <c r="U31" s="141">
        <v>42916</v>
      </c>
      <c r="V31" s="141">
        <v>43008</v>
      </c>
      <c r="W31" s="141">
        <v>43100</v>
      </c>
      <c r="X31" s="141">
        <v>43190</v>
      </c>
      <c r="Y31" s="141">
        <v>43281</v>
      </c>
      <c r="Z31" s="141">
        <v>43373</v>
      </c>
      <c r="AA31" s="141">
        <v>43465</v>
      </c>
      <c r="AB31" s="141">
        <v>43555</v>
      </c>
      <c r="AC31" s="141">
        <v>43646</v>
      </c>
      <c r="AD31" s="141">
        <v>43738</v>
      </c>
      <c r="AE31" s="141"/>
    </row>
    <row r="32" spans="1:31" ht="15" customHeight="1" thickBot="1" x14ac:dyDescent="0.3">
      <c r="B32" s="163" t="s">
        <v>93</v>
      </c>
      <c r="C32" s="164" t="s">
        <v>167</v>
      </c>
      <c r="D32" s="139" t="s">
        <v>171</v>
      </c>
      <c r="E32" s="139" t="s">
        <v>171</v>
      </c>
      <c r="F32" s="139" t="s">
        <v>171</v>
      </c>
      <c r="G32" s="139" t="s">
        <v>171</v>
      </c>
      <c r="H32" s="139" t="s">
        <v>171</v>
      </c>
      <c r="I32" s="139" t="s">
        <v>171</v>
      </c>
      <c r="J32" s="139" t="s">
        <v>171</v>
      </c>
      <c r="K32" s="139" t="s">
        <v>171</v>
      </c>
      <c r="L32" s="139" t="s">
        <v>171</v>
      </c>
      <c r="M32" s="139" t="s">
        <v>171</v>
      </c>
      <c r="N32" s="139" t="s">
        <v>171</v>
      </c>
      <c r="O32" s="139"/>
      <c r="P32" s="158"/>
      <c r="Q32" s="158"/>
      <c r="T32" s="140" t="s">
        <v>319</v>
      </c>
      <c r="U32" s="103" t="str">
        <f>T32</f>
        <v>not audited</v>
      </c>
      <c r="V32" s="103" t="str">
        <f t="shared" ref="V32:AD32" si="10">U32</f>
        <v>not audited</v>
      </c>
      <c r="W32" s="103" t="str">
        <f t="shared" si="10"/>
        <v>not audited</v>
      </c>
      <c r="X32" s="103" t="str">
        <f t="shared" si="10"/>
        <v>not audited</v>
      </c>
      <c r="Y32" s="103" t="str">
        <f t="shared" si="10"/>
        <v>not audited</v>
      </c>
      <c r="Z32" s="103" t="str">
        <f t="shared" si="10"/>
        <v>not audited</v>
      </c>
      <c r="AA32" s="103" t="str">
        <f t="shared" si="10"/>
        <v>not audited</v>
      </c>
      <c r="AB32" s="103" t="str">
        <f t="shared" si="10"/>
        <v>not audited</v>
      </c>
      <c r="AC32" s="103" t="str">
        <f t="shared" si="10"/>
        <v>not audited</v>
      </c>
      <c r="AD32" s="103" t="str">
        <f t="shared" si="10"/>
        <v>not audited</v>
      </c>
      <c r="AE32" s="139"/>
    </row>
    <row r="33" spans="2:31" ht="15.75" thickBot="1" x14ac:dyDescent="0.3">
      <c r="B33" s="100" t="s">
        <v>4</v>
      </c>
      <c r="C33" s="100" t="s">
        <v>5</v>
      </c>
      <c r="D33" s="118">
        <v>6558.3052749999988</v>
      </c>
      <c r="E33" s="127">
        <v>6414.710567000001</v>
      </c>
      <c r="F33" s="118">
        <v>6281.6386899999998</v>
      </c>
      <c r="G33" s="127">
        <v>7546.1141420000013</v>
      </c>
      <c r="H33" s="118">
        <v>9264.8362820000002</v>
      </c>
      <c r="I33" s="127">
        <v>8980.4142399999982</v>
      </c>
      <c r="J33" s="118">
        <v>11905.617623000004</v>
      </c>
      <c r="K33" s="127">
        <v>13716.254757999999</v>
      </c>
      <c r="L33" s="118">
        <v>16324.202993999999</v>
      </c>
      <c r="M33" s="127">
        <v>24087.058890999997</v>
      </c>
      <c r="N33" s="118">
        <v>24058</v>
      </c>
      <c r="O33" s="127"/>
      <c r="P33" s="160"/>
      <c r="Q33" s="160"/>
      <c r="R33" s="145"/>
      <c r="S33" s="145"/>
      <c r="T33" s="118">
        <f>D33/T30*1000</f>
        <v>21244.915046971164</v>
      </c>
      <c r="U33" s="118">
        <f t="shared" ref="U33:AD33" si="11">E33/U30*1000</f>
        <v>20768.318603295887</v>
      </c>
      <c r="V33" s="118">
        <f t="shared" si="11"/>
        <v>20183.268611637694</v>
      </c>
      <c r="W33" s="118">
        <f t="shared" si="11"/>
        <v>24331.315347907403</v>
      </c>
      <c r="X33" s="118">
        <f t="shared" si="11"/>
        <v>29642.73326507759</v>
      </c>
      <c r="Y33" s="118">
        <f t="shared" si="11"/>
        <v>27329.319050517337</v>
      </c>
      <c r="Z33" s="118">
        <f t="shared" si="11"/>
        <v>36770.701164370883</v>
      </c>
      <c r="AA33" s="118">
        <f t="shared" si="11"/>
        <v>42661.984877608782</v>
      </c>
      <c r="AB33" s="118">
        <f t="shared" si="11"/>
        <v>50887.50582624146</v>
      </c>
      <c r="AC33" s="118">
        <f t="shared" si="11"/>
        <v>74448.472803980942</v>
      </c>
      <c r="AD33" s="118">
        <f t="shared" si="11"/>
        <v>71890.03436426117</v>
      </c>
      <c r="AE33" s="118"/>
    </row>
    <row r="34" spans="2:31" ht="30.75" thickBot="1" x14ac:dyDescent="0.3">
      <c r="B34" s="100" t="s">
        <v>174</v>
      </c>
      <c r="C34" s="100" t="s">
        <v>27</v>
      </c>
      <c r="D34" s="121">
        <v>9012.5330919999997</v>
      </c>
      <c r="E34" s="130">
        <v>8405.1333379999996</v>
      </c>
      <c r="F34" s="121">
        <v>8474.491947999999</v>
      </c>
      <c r="G34" s="130">
        <v>9048.883253</v>
      </c>
      <c r="H34" s="121">
        <v>7628.5977700000003</v>
      </c>
      <c r="I34" s="130">
        <v>6946.6078729999999</v>
      </c>
      <c r="J34" s="121">
        <v>7752.4946860000018</v>
      </c>
      <c r="K34" s="130">
        <v>9142.8433459999997</v>
      </c>
      <c r="L34" s="121">
        <v>9461.3970979999995</v>
      </c>
      <c r="M34" s="130">
        <v>9124.4046550000003</v>
      </c>
      <c r="N34" s="121">
        <v>9121</v>
      </c>
      <c r="O34" s="130"/>
      <c r="P34" s="121"/>
      <c r="Q34" s="121"/>
      <c r="R34" s="109">
        <f t="shared" ref="R34:AD34" si="12">SUM(R35:R35)</f>
        <v>0</v>
      </c>
      <c r="S34" s="109">
        <f t="shared" si="12"/>
        <v>0</v>
      </c>
      <c r="T34" s="121">
        <f t="shared" si="12"/>
        <v>13961.948046647231</v>
      </c>
      <c r="U34" s="130">
        <f t="shared" si="12"/>
        <v>8561.3984006216215</v>
      </c>
      <c r="V34" s="121">
        <f t="shared" si="12"/>
        <v>8641.3083700157422</v>
      </c>
      <c r="W34" s="130">
        <f t="shared" si="12"/>
        <v>9111.0392306700196</v>
      </c>
      <c r="X34" s="121">
        <f t="shared" si="12"/>
        <v>5757.4442073268274</v>
      </c>
      <c r="Y34" s="130">
        <f t="shared" si="12"/>
        <v>4087.234704808277</v>
      </c>
      <c r="Z34" s="121">
        <f t="shared" si="12"/>
        <v>3952.3464482055715</v>
      </c>
      <c r="AA34" s="130">
        <f t="shared" si="12"/>
        <v>7966.2167335386148</v>
      </c>
      <c r="AB34" s="121">
        <f t="shared" si="12"/>
        <v>11140.081233828983</v>
      </c>
      <c r="AC34" s="130">
        <f t="shared" si="12"/>
        <v>7210.195892316251</v>
      </c>
      <c r="AD34" s="121">
        <f t="shared" si="12"/>
        <v>10649.932765575975</v>
      </c>
      <c r="AE34" s="121"/>
    </row>
    <row r="35" spans="2:31" ht="15.75" thickBot="1" x14ac:dyDescent="0.3">
      <c r="B35" s="99" t="s">
        <v>38</v>
      </c>
      <c r="C35" s="99" t="s">
        <v>39</v>
      </c>
      <c r="D35" s="122">
        <v>4310.0533619999997</v>
      </c>
      <c r="E35" s="131">
        <v>2644.3591240000001</v>
      </c>
      <c r="F35" s="122">
        <v>2689.4344040000001</v>
      </c>
      <c r="G35" s="131">
        <v>2825.6977069999998</v>
      </c>
      <c r="H35" s="122">
        <v>1799.4891869999999</v>
      </c>
      <c r="I35" s="131">
        <v>1343.0653239999999</v>
      </c>
      <c r="J35" s="122">
        <v>1279.6907329999999</v>
      </c>
      <c r="K35" s="131">
        <v>2561.2183420000001</v>
      </c>
      <c r="L35" s="122">
        <v>3573.626659</v>
      </c>
      <c r="M35" s="131">
        <v>2332.786779</v>
      </c>
      <c r="N35" s="122">
        <v>3564</v>
      </c>
      <c r="O35" s="131"/>
      <c r="P35" s="122"/>
      <c r="Q35" s="122"/>
      <c r="R35" s="145"/>
      <c r="S35" s="145"/>
      <c r="T35" s="122">
        <f t="shared" ref="T35" si="13">+D35/T$30*1000</f>
        <v>13961.948046647231</v>
      </c>
      <c r="U35" s="131">
        <f t="shared" ref="U35" si="14">+E35/U$30*1000</f>
        <v>8561.3984006216215</v>
      </c>
      <c r="V35" s="122">
        <f t="shared" ref="V35" si="15">+F35/V$30*1000</f>
        <v>8641.3083700157422</v>
      </c>
      <c r="W35" s="131">
        <f t="shared" ref="W35" si="16">+G35/W$30*1000</f>
        <v>9111.0392306700196</v>
      </c>
      <c r="X35" s="122">
        <f t="shared" ref="X35" si="17">+H35/X$30*1000</f>
        <v>5757.4442073268274</v>
      </c>
      <c r="Y35" s="131">
        <f t="shared" ref="Y35" si="18">+I35/Y$30*1000</f>
        <v>4087.234704808277</v>
      </c>
      <c r="Z35" s="122">
        <f t="shared" ref="Z35" si="19">+J35/Z$30*1000</f>
        <v>3952.3464482055715</v>
      </c>
      <c r="AA35" s="131">
        <f t="shared" ref="AA35" si="20">+K35/AA$30*1000</f>
        <v>7966.2167335386148</v>
      </c>
      <c r="AB35" s="122">
        <f t="shared" ref="AB35" si="21">+L35/AB$30*1000</f>
        <v>11140.081233828983</v>
      </c>
      <c r="AC35" s="131">
        <f t="shared" ref="AC35:AD35" si="22">+M35/AC$30*1000</f>
        <v>7210.195892316251</v>
      </c>
      <c r="AD35" s="122">
        <f t="shared" si="22"/>
        <v>10649.932765575975</v>
      </c>
      <c r="AE35" s="122"/>
    </row>
    <row r="36" spans="2:31" ht="16.5" thickTop="1" thickBot="1" x14ac:dyDescent="0.3">
      <c r="B36" s="101" t="s">
        <v>42</v>
      </c>
      <c r="C36" s="101" t="s">
        <v>43</v>
      </c>
      <c r="D36" s="123">
        <f t="shared" ref="D36:O36" si="23">D34+D33</f>
        <v>15570.838366999998</v>
      </c>
      <c r="E36" s="132">
        <f t="shared" si="23"/>
        <v>14819.843905000002</v>
      </c>
      <c r="F36" s="123">
        <f t="shared" si="23"/>
        <v>14756.130637999999</v>
      </c>
      <c r="G36" s="132">
        <f t="shared" si="23"/>
        <v>16594.997395000002</v>
      </c>
      <c r="H36" s="123">
        <f t="shared" si="23"/>
        <v>16893.434052000001</v>
      </c>
      <c r="I36" s="132">
        <f t="shared" si="23"/>
        <v>15927.022112999999</v>
      </c>
      <c r="J36" s="123">
        <f t="shared" si="23"/>
        <v>19658.112309000004</v>
      </c>
      <c r="K36" s="132">
        <f t="shared" si="23"/>
        <v>22859.098103999997</v>
      </c>
      <c r="L36" s="123">
        <f t="shared" si="23"/>
        <v>25785.600092000001</v>
      </c>
      <c r="M36" s="132">
        <f t="shared" si="23"/>
        <v>33211.463545999999</v>
      </c>
      <c r="N36" s="123">
        <v>33179</v>
      </c>
      <c r="O36" s="123">
        <f t="shared" si="23"/>
        <v>0</v>
      </c>
      <c r="P36" s="123"/>
      <c r="Q36" s="123"/>
      <c r="R36" s="110">
        <f t="shared" ref="R36:AD36" si="24">+R34+R33</f>
        <v>0</v>
      </c>
      <c r="S36" s="110">
        <f t="shared" si="24"/>
        <v>0</v>
      </c>
      <c r="T36" s="123">
        <f t="shared" si="24"/>
        <v>35206.863093618391</v>
      </c>
      <c r="U36" s="132">
        <f t="shared" si="24"/>
        <v>29329.717003917511</v>
      </c>
      <c r="V36" s="123">
        <f t="shared" si="24"/>
        <v>28824.576981653438</v>
      </c>
      <c r="W36" s="132">
        <f t="shared" si="24"/>
        <v>33442.354578577419</v>
      </c>
      <c r="X36" s="123">
        <f t="shared" si="24"/>
        <v>35400.177472404415</v>
      </c>
      <c r="Y36" s="132">
        <f t="shared" si="24"/>
        <v>31416.553755325614</v>
      </c>
      <c r="Z36" s="123">
        <f t="shared" si="24"/>
        <v>40723.047612576454</v>
      </c>
      <c r="AA36" s="132">
        <f t="shared" si="24"/>
        <v>50628.201611147393</v>
      </c>
      <c r="AB36" s="123">
        <f t="shared" si="24"/>
        <v>62027.587060070444</v>
      </c>
      <c r="AC36" s="132">
        <f t="shared" si="24"/>
        <v>81658.668696297187</v>
      </c>
      <c r="AD36" s="123">
        <f t="shared" si="24"/>
        <v>82539.96712983714</v>
      </c>
      <c r="AE36" s="123"/>
    </row>
    <row r="37" spans="2:31" ht="15.75" thickTop="1" x14ac:dyDescent="0.25">
      <c r="D37" s="117"/>
      <c r="E37" s="126"/>
      <c r="F37" s="146"/>
      <c r="G37" s="126"/>
      <c r="H37" s="146"/>
      <c r="I37" s="126"/>
      <c r="J37" s="146"/>
      <c r="K37" s="126"/>
      <c r="L37" s="146"/>
      <c r="M37" s="126"/>
      <c r="N37" s="146"/>
      <c r="O37" s="126"/>
      <c r="P37" s="146"/>
      <c r="Q37" s="146"/>
      <c r="R37" s="145"/>
      <c r="S37" s="145"/>
      <c r="T37" s="147"/>
      <c r="U37" s="147"/>
      <c r="V37" s="147"/>
      <c r="W37" s="126"/>
      <c r="X37" s="146"/>
      <c r="Y37" s="126"/>
      <c r="Z37" s="146"/>
      <c r="AA37" s="126"/>
      <c r="AB37" s="146"/>
      <c r="AC37" s="126"/>
      <c r="AD37" s="146"/>
      <c r="AE37" s="126"/>
    </row>
    <row r="38" spans="2:31" ht="18.75" outlineLevel="1" x14ac:dyDescent="0.3">
      <c r="D38" s="117"/>
      <c r="E38" s="126"/>
      <c r="F38" s="146"/>
      <c r="G38" s="126"/>
      <c r="H38" s="146"/>
      <c r="I38" s="126"/>
      <c r="J38" s="146"/>
      <c r="K38" s="126"/>
      <c r="L38" s="146"/>
      <c r="M38" s="126"/>
      <c r="N38" s="146"/>
      <c r="O38" s="126"/>
      <c r="P38" s="146"/>
      <c r="Q38" s="146"/>
      <c r="R38" s="145"/>
      <c r="T38" s="218" t="s">
        <v>293</v>
      </c>
      <c r="U38" s="218"/>
      <c r="W38" s="126"/>
      <c r="X38" s="146"/>
      <c r="Y38" s="126"/>
      <c r="Z38" s="146"/>
      <c r="AA38" s="126"/>
      <c r="AB38" s="146"/>
      <c r="AC38" s="126"/>
      <c r="AD38" s="146"/>
      <c r="AE38" s="126"/>
    </row>
    <row r="39" spans="2:31" outlineLevel="1" x14ac:dyDescent="0.25">
      <c r="D39" s="117"/>
      <c r="E39" s="126"/>
      <c r="F39" s="146"/>
      <c r="G39" s="126"/>
      <c r="H39" s="146"/>
      <c r="I39" s="126"/>
      <c r="J39" s="146"/>
      <c r="K39" s="126"/>
      <c r="L39" s="146"/>
      <c r="M39" s="126"/>
      <c r="N39" s="146"/>
      <c r="O39" s="126"/>
      <c r="P39" s="146"/>
      <c r="Q39" s="146"/>
      <c r="R39" s="145"/>
      <c r="S39" t="s">
        <v>182</v>
      </c>
      <c r="T39" s="108">
        <f>T30</f>
        <v>308.7</v>
      </c>
      <c r="U39" s="198">
        <f t="shared" ref="U39:AD39" si="25">U30</f>
        <v>308.87</v>
      </c>
      <c r="V39" s="198">
        <f t="shared" si="25"/>
        <v>311.23</v>
      </c>
      <c r="W39" s="198">
        <f t="shared" si="25"/>
        <v>310.14</v>
      </c>
      <c r="X39" s="198">
        <f t="shared" si="25"/>
        <v>312.55</v>
      </c>
      <c r="Y39" s="198">
        <f t="shared" si="25"/>
        <v>328.6</v>
      </c>
      <c r="Z39" s="198">
        <f t="shared" si="25"/>
        <v>323.77999999999997</v>
      </c>
      <c r="AA39" s="198">
        <f t="shared" si="25"/>
        <v>321.51</v>
      </c>
      <c r="AB39" s="198">
        <f t="shared" si="25"/>
        <v>320.79000000000002</v>
      </c>
      <c r="AC39" s="198">
        <f t="shared" si="25"/>
        <v>323.54000000000002</v>
      </c>
      <c r="AD39" s="198">
        <f t="shared" si="25"/>
        <v>334.65</v>
      </c>
      <c r="AE39" s="126"/>
    </row>
    <row r="40" spans="2:31" outlineLevel="1" x14ac:dyDescent="0.25">
      <c r="B40" s="93"/>
      <c r="C40" s="93"/>
      <c r="D40" s="141">
        <v>42825</v>
      </c>
      <c r="E40" s="141">
        <v>42916</v>
      </c>
      <c r="F40" s="141">
        <v>43008</v>
      </c>
      <c r="G40" s="141">
        <v>43100</v>
      </c>
      <c r="H40" s="141">
        <v>43190</v>
      </c>
      <c r="I40" s="141">
        <v>43281</v>
      </c>
      <c r="J40" s="141">
        <v>43373</v>
      </c>
      <c r="K40" s="141">
        <v>43465</v>
      </c>
      <c r="L40" s="141">
        <v>43555</v>
      </c>
      <c r="M40" s="141">
        <v>43646</v>
      </c>
      <c r="N40" s="141">
        <v>43738</v>
      </c>
      <c r="O40" s="148"/>
      <c r="P40" s="148"/>
      <c r="Q40" s="148"/>
      <c r="R40" s="149"/>
      <c r="S40" s="149"/>
      <c r="T40" s="141">
        <f>T31</f>
        <v>42825</v>
      </c>
      <c r="U40" s="141">
        <f t="shared" ref="U40:AC40" si="26">U31</f>
        <v>42916</v>
      </c>
      <c r="V40" s="141">
        <f t="shared" si="26"/>
        <v>43008</v>
      </c>
      <c r="W40" s="141">
        <f t="shared" si="26"/>
        <v>43100</v>
      </c>
      <c r="X40" s="141">
        <f t="shared" si="26"/>
        <v>43190</v>
      </c>
      <c r="Y40" s="141">
        <f t="shared" si="26"/>
        <v>43281</v>
      </c>
      <c r="Z40" s="141">
        <f t="shared" si="26"/>
        <v>43373</v>
      </c>
      <c r="AA40" s="141">
        <f t="shared" si="26"/>
        <v>43465</v>
      </c>
      <c r="AB40" s="141">
        <f t="shared" si="26"/>
        <v>43555</v>
      </c>
      <c r="AC40" s="141">
        <f t="shared" si="26"/>
        <v>43646</v>
      </c>
      <c r="AD40" s="141">
        <f t="shared" ref="AD40" si="27">AD31</f>
        <v>43738</v>
      </c>
      <c r="AE40" s="148"/>
    </row>
    <row r="41" spans="2:31" ht="15" customHeight="1" outlineLevel="1" thickBot="1" x14ac:dyDescent="0.3">
      <c r="B41" s="93"/>
      <c r="C41" s="93"/>
      <c r="D41" s="139" t="s">
        <v>171</v>
      </c>
      <c r="E41" s="139" t="s">
        <v>171</v>
      </c>
      <c r="F41" s="139" t="s">
        <v>171</v>
      </c>
      <c r="G41" s="139" t="s">
        <v>171</v>
      </c>
      <c r="H41" s="139" t="s">
        <v>171</v>
      </c>
      <c r="I41" s="139" t="s">
        <v>171</v>
      </c>
      <c r="J41" s="139" t="s">
        <v>171</v>
      </c>
      <c r="K41" s="139" t="s">
        <v>171</v>
      </c>
      <c r="L41" s="139" t="s">
        <v>171</v>
      </c>
      <c r="M41" s="139" t="s">
        <v>171</v>
      </c>
      <c r="N41" s="139" t="s">
        <v>171</v>
      </c>
      <c r="O41" s="150"/>
      <c r="P41" s="161"/>
      <c r="Q41" s="161"/>
      <c r="R41" s="144"/>
      <c r="S41" s="144"/>
      <c r="T41" s="139" t="str">
        <f>T32</f>
        <v>not audited</v>
      </c>
      <c r="U41" s="139" t="str">
        <f t="shared" ref="U41:AC41" si="28">U32</f>
        <v>not audited</v>
      </c>
      <c r="V41" s="139" t="str">
        <f t="shared" si="28"/>
        <v>not audited</v>
      </c>
      <c r="W41" s="139" t="str">
        <f t="shared" si="28"/>
        <v>not audited</v>
      </c>
      <c r="X41" s="139" t="str">
        <f t="shared" si="28"/>
        <v>not audited</v>
      </c>
      <c r="Y41" s="139" t="str">
        <f t="shared" si="28"/>
        <v>not audited</v>
      </c>
      <c r="Z41" s="139" t="str">
        <f t="shared" si="28"/>
        <v>not audited</v>
      </c>
      <c r="AA41" s="139" t="str">
        <f t="shared" si="28"/>
        <v>not audited</v>
      </c>
      <c r="AB41" s="139" t="str">
        <f t="shared" si="28"/>
        <v>not audited</v>
      </c>
      <c r="AC41" s="139" t="str">
        <f t="shared" si="28"/>
        <v>not audited</v>
      </c>
      <c r="AD41" s="139" t="str">
        <f t="shared" ref="AD41" si="29">AD32</f>
        <v>not audited</v>
      </c>
      <c r="AE41" s="150"/>
    </row>
    <row r="42" spans="2:31" ht="15.75" outlineLevel="1" thickBot="1" x14ac:dyDescent="0.3">
      <c r="B42" s="100" t="s">
        <v>44</v>
      </c>
      <c r="C42" s="100" t="s">
        <v>45</v>
      </c>
      <c r="D42" s="121">
        <v>4489.1524970000009</v>
      </c>
      <c r="E42" s="130">
        <v>4668.9346690000002</v>
      </c>
      <c r="F42" s="121">
        <v>4778.0686959999994</v>
      </c>
      <c r="G42" s="130">
        <v>5119.4954319999997</v>
      </c>
      <c r="H42" s="121">
        <v>5160.3390290000007</v>
      </c>
      <c r="I42" s="130">
        <v>5104.4388430000008</v>
      </c>
      <c r="J42" s="121">
        <v>5491.4350970000005</v>
      </c>
      <c r="K42" s="130">
        <v>5144.733087999999</v>
      </c>
      <c r="L42" s="121">
        <v>6396.3026549999995</v>
      </c>
      <c r="M42" s="130">
        <v>6310.1572749999987</v>
      </c>
      <c r="N42" s="121">
        <v>6189</v>
      </c>
      <c r="O42" s="130"/>
      <c r="P42" s="162"/>
      <c r="Q42" s="162"/>
      <c r="R42" s="145"/>
      <c r="S42" s="145"/>
      <c r="T42" s="121">
        <f>D42/T$39*1000</f>
        <v>14542.120171687726</v>
      </c>
      <c r="U42" s="121">
        <f t="shared" ref="U42:AC45" si="30">E42/U$39*1000</f>
        <v>15116.180493411468</v>
      </c>
      <c r="V42" s="121">
        <f t="shared" si="30"/>
        <v>15352.211213571953</v>
      </c>
      <c r="W42" s="121">
        <f t="shared" si="30"/>
        <v>16507.04659831044</v>
      </c>
      <c r="X42" s="121">
        <f t="shared" si="30"/>
        <v>16510.4432218845</v>
      </c>
      <c r="Y42" s="121">
        <f t="shared" si="30"/>
        <v>15533.8978788801</v>
      </c>
      <c r="Z42" s="121">
        <f t="shared" si="30"/>
        <v>16960.390070418191</v>
      </c>
      <c r="AA42" s="121">
        <f t="shared" si="30"/>
        <v>16001.782488880594</v>
      </c>
      <c r="AB42" s="121">
        <f t="shared" si="30"/>
        <v>19939.220845412885</v>
      </c>
      <c r="AC42" s="121">
        <f t="shared" si="30"/>
        <v>19503.484190517393</v>
      </c>
      <c r="AD42" s="130">
        <f>N42/$AD$39*1000</f>
        <v>18493.948901837743</v>
      </c>
      <c r="AE42" s="130"/>
    </row>
    <row r="43" spans="2:31" ht="15.75" outlineLevel="2" thickBot="1" x14ac:dyDescent="0.3">
      <c r="B43" s="100" t="s">
        <v>62</v>
      </c>
      <c r="C43" s="100" t="s">
        <v>63</v>
      </c>
      <c r="D43" s="121">
        <v>6591.7173349999994</v>
      </c>
      <c r="E43" s="130">
        <v>6230.6875429999991</v>
      </c>
      <c r="F43" s="121">
        <v>6572.5368279999984</v>
      </c>
      <c r="G43" s="130">
        <v>6254.7884560000002</v>
      </c>
      <c r="H43" s="121">
        <v>7138.188905</v>
      </c>
      <c r="I43" s="130">
        <v>6529.8529439999993</v>
      </c>
      <c r="J43" s="121">
        <v>8263.0708180000001</v>
      </c>
      <c r="K43" s="130">
        <v>9130.4673749999984</v>
      </c>
      <c r="L43" s="121">
        <v>11483.422210999999</v>
      </c>
      <c r="M43" s="130">
        <v>19876.075740000004</v>
      </c>
      <c r="N43" s="121">
        <v>17492</v>
      </c>
      <c r="O43" s="130"/>
      <c r="P43" s="162"/>
      <c r="Q43" s="162"/>
      <c r="R43" s="145"/>
      <c r="S43" s="145"/>
      <c r="T43" s="121">
        <f t="shared" ref="T43:T45" si="31">D43/T$39*1000</f>
        <v>21353.149773242629</v>
      </c>
      <c r="U43" s="121">
        <f t="shared" si="30"/>
        <v>20172.524178456952</v>
      </c>
      <c r="V43" s="121">
        <f t="shared" si="30"/>
        <v>21117.941162484327</v>
      </c>
      <c r="W43" s="121">
        <f t="shared" si="30"/>
        <v>20167.628993357841</v>
      </c>
      <c r="X43" s="121">
        <f t="shared" si="30"/>
        <v>22838.550327947527</v>
      </c>
      <c r="Y43" s="121">
        <f t="shared" si="30"/>
        <v>19871.737504564815</v>
      </c>
      <c r="Z43" s="121">
        <f t="shared" si="30"/>
        <v>25520.633819259994</v>
      </c>
      <c r="AA43" s="121">
        <f t="shared" si="30"/>
        <v>28398.704161612386</v>
      </c>
      <c r="AB43" s="121">
        <f t="shared" si="30"/>
        <v>35797.319776177559</v>
      </c>
      <c r="AC43" s="121">
        <f t="shared" si="30"/>
        <v>61433.132657476672</v>
      </c>
      <c r="AD43" s="130">
        <f>N43/$AD$39*1000</f>
        <v>52269.535335425076</v>
      </c>
      <c r="AE43" s="130"/>
    </row>
    <row r="44" spans="2:31" ht="15.75" outlineLevel="2" thickBot="1" x14ac:dyDescent="0.3">
      <c r="B44" s="100" t="s">
        <v>77</v>
      </c>
      <c r="C44" s="100" t="s">
        <v>78</v>
      </c>
      <c r="D44" s="118">
        <v>4489.968535</v>
      </c>
      <c r="E44" s="127">
        <v>3920.2216930000004</v>
      </c>
      <c r="F44" s="118">
        <v>3405.5251139999996</v>
      </c>
      <c r="G44" s="127">
        <v>5220.7135070000004</v>
      </c>
      <c r="H44" s="118">
        <v>4594.9061179999999</v>
      </c>
      <c r="I44" s="127">
        <v>4292.730325999999</v>
      </c>
      <c r="J44" s="118">
        <v>5903.6063940000004</v>
      </c>
      <c r="K44" s="127">
        <v>8583.8976410000014</v>
      </c>
      <c r="L44" s="118">
        <v>7905.8752260000001</v>
      </c>
      <c r="M44" s="127">
        <v>7025.2305310000011</v>
      </c>
      <c r="N44" s="118">
        <v>9498</v>
      </c>
      <c r="O44" s="127"/>
      <c r="P44" s="160"/>
      <c r="Q44" s="160"/>
      <c r="R44" s="145"/>
      <c r="S44" s="145"/>
      <c r="T44" s="121">
        <f t="shared" si="31"/>
        <v>14544.763637836088</v>
      </c>
      <c r="U44" s="121">
        <f t="shared" si="30"/>
        <v>12692.141331304434</v>
      </c>
      <c r="V44" s="121">
        <f t="shared" si="30"/>
        <v>10942.14925939016</v>
      </c>
      <c r="W44" s="121">
        <f t="shared" si="30"/>
        <v>16833.409128135681</v>
      </c>
      <c r="X44" s="121">
        <f t="shared" si="30"/>
        <v>14701.347362022074</v>
      </c>
      <c r="Y44" s="121">
        <f t="shared" si="30"/>
        <v>13063.695453438828</v>
      </c>
      <c r="Z44" s="121">
        <f t="shared" si="30"/>
        <v>18233.388084501825</v>
      </c>
      <c r="AA44" s="121">
        <f t="shared" si="30"/>
        <v>26698.695657988872</v>
      </c>
      <c r="AB44" s="121">
        <f t="shared" si="30"/>
        <v>24645.017693818387</v>
      </c>
      <c r="AC44" s="121">
        <f t="shared" si="30"/>
        <v>21713.638285837918</v>
      </c>
      <c r="AD44" s="127">
        <f>N44/$AD$39*1000</f>
        <v>28381.891528462576</v>
      </c>
      <c r="AE44" s="127"/>
    </row>
    <row r="45" spans="2:31" ht="31.5" outlineLevel="2" thickTop="1" thickBot="1" x14ac:dyDescent="0.3">
      <c r="B45" s="101" t="s">
        <v>91</v>
      </c>
      <c r="C45" s="101" t="s">
        <v>92</v>
      </c>
      <c r="D45" s="123">
        <f t="shared" ref="D45:M45" si="32">D44+D43+D42</f>
        <v>15570.838367</v>
      </c>
      <c r="E45" s="132">
        <f t="shared" si="32"/>
        <v>14819.843905</v>
      </c>
      <c r="F45" s="123">
        <f t="shared" si="32"/>
        <v>14756.130637999999</v>
      </c>
      <c r="G45" s="132">
        <f t="shared" si="32"/>
        <v>16594.997394999999</v>
      </c>
      <c r="H45" s="123">
        <f t="shared" si="32"/>
        <v>16893.434052000001</v>
      </c>
      <c r="I45" s="132">
        <f t="shared" si="32"/>
        <v>15927.022112999999</v>
      </c>
      <c r="J45" s="123">
        <f t="shared" si="32"/>
        <v>19658.112309</v>
      </c>
      <c r="K45" s="132">
        <f t="shared" si="32"/>
        <v>22859.098103999997</v>
      </c>
      <c r="L45" s="123">
        <f t="shared" si="32"/>
        <v>25785.600092000001</v>
      </c>
      <c r="M45" s="132">
        <f t="shared" si="32"/>
        <v>33211.463546000006</v>
      </c>
      <c r="N45" s="123">
        <v>33179</v>
      </c>
      <c r="O45" s="132"/>
      <c r="P45" s="162"/>
      <c r="Q45" s="162"/>
      <c r="R45" s="145"/>
      <c r="S45" s="145"/>
      <c r="T45" s="121">
        <f t="shared" si="31"/>
        <v>50440.033582766438</v>
      </c>
      <c r="U45" s="121">
        <f t="shared" si="30"/>
        <v>47980.846003172854</v>
      </c>
      <c r="V45" s="121">
        <f t="shared" si="30"/>
        <v>47412.301635446449</v>
      </c>
      <c r="W45" s="121">
        <f t="shared" si="30"/>
        <v>53508.084719803956</v>
      </c>
      <c r="X45" s="121">
        <f t="shared" si="30"/>
        <v>54050.340911854102</v>
      </c>
      <c r="Y45" s="121">
        <f t="shared" si="30"/>
        <v>48469.330836883739</v>
      </c>
      <c r="Z45" s="121">
        <f t="shared" si="30"/>
        <v>60714.411974180002</v>
      </c>
      <c r="AA45" s="121">
        <f t="shared" si="30"/>
        <v>71099.182308481846</v>
      </c>
      <c r="AB45" s="121">
        <f t="shared" si="30"/>
        <v>80381.558315408824</v>
      </c>
      <c r="AC45" s="121">
        <f t="shared" si="30"/>
        <v>102650.25513383199</v>
      </c>
      <c r="AD45" s="132">
        <f>+AD44+AD43+AD42</f>
        <v>99145.375765725388</v>
      </c>
      <c r="AE45" s="132"/>
    </row>
    <row r="46" spans="2:31" s="92" customFormat="1" ht="15.75" outlineLevel="1" thickTop="1" x14ac:dyDescent="0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108"/>
      <c r="V46" s="108"/>
      <c r="W46"/>
      <c r="X46"/>
      <c r="Y46"/>
      <c r="Z46"/>
      <c r="AA46"/>
      <c r="AB46"/>
      <c r="AC46"/>
      <c r="AD46" s="216"/>
      <c r="AE46"/>
    </row>
    <row r="47" spans="2:31" outlineLevel="1" x14ac:dyDescent="0.25"/>
  </sheetData>
  <mergeCells count="2">
    <mergeCell ref="T1:U1"/>
    <mergeCell ref="T38:U38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topLeftCell="C1" workbookViewId="0">
      <selection activeCell="O23" sqref="O23"/>
    </sheetView>
  </sheetViews>
  <sheetFormatPr defaultRowHeight="15" x14ac:dyDescent="0.25"/>
  <cols>
    <col min="2" max="3" width="37.42578125" customWidth="1"/>
    <col min="4" max="4" width="17.28515625" customWidth="1"/>
    <col min="5" max="5" width="11.42578125" customWidth="1"/>
    <col min="6" max="7" width="11.28515625" customWidth="1"/>
    <col min="8" max="8" width="10.7109375" customWidth="1"/>
    <col min="10" max="10" width="33.42578125" customWidth="1"/>
  </cols>
  <sheetData>
    <row r="2" spans="2:12" ht="15.75" thickBot="1" x14ac:dyDescent="0.3"/>
    <row r="3" spans="2:12" x14ac:dyDescent="0.25">
      <c r="D3" s="64">
        <v>43830</v>
      </c>
      <c r="E3" s="65">
        <v>43465</v>
      </c>
      <c r="F3" s="64">
        <v>43100</v>
      </c>
      <c r="G3" s="65">
        <v>42735</v>
      </c>
      <c r="H3" s="66" t="s">
        <v>264</v>
      </c>
    </row>
    <row r="4" spans="2:12" ht="26.25" x14ac:dyDescent="0.25">
      <c r="B4" s="67" t="s">
        <v>274</v>
      </c>
      <c r="C4" s="67"/>
      <c r="D4" s="69" t="s">
        <v>265</v>
      </c>
      <c r="E4" s="69" t="s">
        <v>265</v>
      </c>
      <c r="F4" s="68" t="s">
        <v>265</v>
      </c>
      <c r="G4" s="69" t="s">
        <v>265</v>
      </c>
      <c r="H4" s="70" t="s">
        <v>288</v>
      </c>
    </row>
    <row r="5" spans="2:12" ht="26.25" x14ac:dyDescent="0.25">
      <c r="B5" s="71" t="s">
        <v>266</v>
      </c>
      <c r="C5" s="75" t="s">
        <v>277</v>
      </c>
      <c r="D5" s="75"/>
      <c r="E5" s="73">
        <v>10230.591</v>
      </c>
      <c r="F5" s="72">
        <f>+[1]Árbev_EBITDA_szegmens!I4</f>
        <v>9557.5337209999998</v>
      </c>
      <c r="G5" s="73">
        <f>+[1]Árbev_EBITDA_szegmens!J4</f>
        <v>8291.0161179999996</v>
      </c>
      <c r="H5" s="74">
        <f>E5/F5-1</f>
        <v>7.0421648371602918E-2</v>
      </c>
      <c r="K5" s="75"/>
      <c r="L5" s="83"/>
    </row>
    <row r="6" spans="2:12" ht="26.25" x14ac:dyDescent="0.25">
      <c r="B6" s="75" t="s">
        <v>267</v>
      </c>
      <c r="C6" s="75" t="s">
        <v>278</v>
      </c>
      <c r="D6" s="75"/>
      <c r="E6" s="45">
        <v>626.95699999999999</v>
      </c>
      <c r="F6" s="76">
        <f>+[1]Árbev_EBITDA_szegmens!I14</f>
        <v>837.77375500000005</v>
      </c>
      <c r="G6" s="45">
        <f>+[1]Árbev_EBITDA_szegmens!J14</f>
        <v>1015.4943420000001</v>
      </c>
      <c r="H6" s="77">
        <f t="shared" ref="H6:H25" si="0">E6/F6-1</f>
        <v>-0.25163924477438426</v>
      </c>
      <c r="K6" s="75"/>
      <c r="L6" s="83"/>
    </row>
    <row r="7" spans="2:12" x14ac:dyDescent="0.25">
      <c r="B7" s="75" t="s">
        <v>268</v>
      </c>
      <c r="C7" s="75" t="s">
        <v>279</v>
      </c>
      <c r="D7" s="75"/>
      <c r="E7" s="45">
        <v>7581.6869999999999</v>
      </c>
      <c r="F7" s="76">
        <f>+[1]Árbev_EBITDA_szegmens!I23</f>
        <v>6216.3799730000001</v>
      </c>
      <c r="G7" s="45">
        <f>+[1]Árbev_EBITDA_szegmens!J23</f>
        <v>3897.1971610000001</v>
      </c>
      <c r="H7" s="77">
        <f t="shared" si="0"/>
        <v>0.21963056198784914</v>
      </c>
      <c r="K7" s="75"/>
      <c r="L7" s="83"/>
    </row>
    <row r="8" spans="2:12" x14ac:dyDescent="0.25">
      <c r="B8" s="75" t="s">
        <v>269</v>
      </c>
      <c r="C8" s="75" t="s">
        <v>280</v>
      </c>
      <c r="D8" s="75"/>
      <c r="E8" s="45">
        <v>6943.4889999999996</v>
      </c>
      <c r="F8" s="76">
        <f>+[1]Árbev_EBITDA_szegmens!I33</f>
        <v>5120.8255200000003</v>
      </c>
      <c r="G8" s="45">
        <f>+[1]Árbev_EBITDA_szegmens!J33</f>
        <v>3091.856252</v>
      </c>
      <c r="H8" s="77">
        <f t="shared" si="0"/>
        <v>0.35593157253285979</v>
      </c>
      <c r="K8" s="75"/>
      <c r="L8" s="83"/>
    </row>
    <row r="9" spans="2:12" x14ac:dyDescent="0.25">
      <c r="B9" s="75" t="s">
        <v>270</v>
      </c>
      <c r="C9" s="75" t="s">
        <v>281</v>
      </c>
      <c r="D9" s="75"/>
      <c r="E9" s="45">
        <v>346.96300000000002</v>
      </c>
      <c r="F9" s="76">
        <v>346</v>
      </c>
      <c r="G9" s="45">
        <f>+[1]Árbev_EBITDA_szegmens!K43</f>
        <v>729.72434799999996</v>
      </c>
      <c r="H9" s="77">
        <f t="shared" si="0"/>
        <v>2.7832369942197843E-3</v>
      </c>
      <c r="K9" s="75"/>
      <c r="L9" s="83"/>
    </row>
    <row r="10" spans="2:12" ht="15.75" thickBot="1" x14ac:dyDescent="0.3">
      <c r="B10" s="75" t="s">
        <v>271</v>
      </c>
      <c r="C10" s="75"/>
      <c r="D10" s="75"/>
      <c r="E10" s="45">
        <f>+'éves P&amp;L_mérleg'!I68-SUM(szegmensek!E5:E9)</f>
        <v>-7043.9200000000019</v>
      </c>
      <c r="F10" s="76">
        <f>-3670-20</f>
        <v>-3690</v>
      </c>
      <c r="G10" s="45">
        <f>+([2]KÁT!$C$35+[2]Egyéb!$C$35+[2]Enkisker!$C$35+[2]Eterm!$C$35+[2]Enszolg!$C$35)/1000</f>
        <v>-3077.0695139999998</v>
      </c>
      <c r="H10" s="77">
        <f t="shared" si="0"/>
        <v>0.9089214092140927</v>
      </c>
    </row>
    <row r="11" spans="2:12" ht="15.75" thickBot="1" x14ac:dyDescent="0.3">
      <c r="B11" s="78" t="s">
        <v>272</v>
      </c>
      <c r="C11" s="78"/>
      <c r="D11" s="78"/>
      <c r="E11" s="80">
        <f>+SUM(E5:E10)</f>
        <v>18685.767</v>
      </c>
      <c r="F11" s="79">
        <f>+SUM(F5:F10)</f>
        <v>18388.512969000003</v>
      </c>
      <c r="G11" s="80">
        <f>+SUM(G5:G10)</f>
        <v>13948.218707</v>
      </c>
      <c r="H11" s="81">
        <f t="shared" ref="H11" si="1">F11/G11-1</f>
        <v>0.31834131334430649</v>
      </c>
    </row>
    <row r="12" spans="2:12" ht="26.25" x14ac:dyDescent="0.25">
      <c r="B12" s="75" t="s">
        <v>266</v>
      </c>
      <c r="C12" s="75"/>
      <c r="D12" s="75"/>
      <c r="E12" s="45">
        <f>-8697-30-426</f>
        <v>-9153</v>
      </c>
      <c r="F12" s="76">
        <f>-8660-1+217</f>
        <v>-8444</v>
      </c>
      <c r="G12" s="45">
        <f>+[1]Árbev_EBITDA_szegmens!J5+[1]Árbev_EBITDA_szegmens!J6+[1]Árbev_EBITDA_szegmens!J7+[1]Árbev_EBITDA_szegmens!J8</f>
        <v>-6694.334866000002</v>
      </c>
      <c r="H12" s="77">
        <f t="shared" si="0"/>
        <v>8.3964945523448575E-2</v>
      </c>
    </row>
    <row r="13" spans="2:12" ht="26.25" x14ac:dyDescent="0.25">
      <c r="B13" s="75" t="s">
        <v>267</v>
      </c>
      <c r="C13" s="75"/>
      <c r="D13" s="75"/>
      <c r="E13" s="45">
        <f>-164-73+43</f>
        <v>-194</v>
      </c>
      <c r="F13" s="76">
        <f>-221-97+38</f>
        <v>-280</v>
      </c>
      <c r="G13" s="45">
        <f>+[1]Árbev_EBITDA_szegmens!J15+[1]Árbev_EBITDA_szegmens!J16+[1]Árbev_EBITDA_szegmens!J17</f>
        <v>-302.82872500000002</v>
      </c>
      <c r="H13" s="77">
        <f t="shared" si="0"/>
        <v>-0.30714285714285716</v>
      </c>
    </row>
    <row r="14" spans="2:12" x14ac:dyDescent="0.25">
      <c r="B14" s="75" t="s">
        <v>268</v>
      </c>
      <c r="C14" s="75"/>
      <c r="D14" s="75"/>
      <c r="E14" s="45">
        <f>-4927-1611+213</f>
        <v>-6325</v>
      </c>
      <c r="F14" s="76">
        <f>-3759-1345+55</f>
        <v>-5049</v>
      </c>
      <c r="G14" s="45">
        <f>+[1]Árbev_EBITDA_szegmens!J24+[1]Árbev_EBITDA_szegmens!J25+[1]Árbev_EBITDA_szegmens!J26+[1]Árbev_EBITDA_szegmens!J27</f>
        <v>-3133.6149570000002</v>
      </c>
      <c r="H14" s="77">
        <f t="shared" si="0"/>
        <v>0.25272331154684102</v>
      </c>
    </row>
    <row r="15" spans="2:12" x14ac:dyDescent="0.25">
      <c r="B15" s="75" t="s">
        <v>269</v>
      </c>
      <c r="C15" s="75"/>
      <c r="D15" s="75"/>
      <c r="E15" s="45">
        <f>-6626-53+18</f>
        <v>-6661</v>
      </c>
      <c r="F15" s="76">
        <f>-5217-47+2</f>
        <v>-5262</v>
      </c>
      <c r="G15" s="45">
        <f>+[1]Árbev_EBITDA_szegmens!J34+[1]Árbev_EBITDA_szegmens!J35+[1]Árbev_EBITDA_szegmens!J36+[1]Árbev_EBITDA_szegmens!J37</f>
        <v>-2966.2490310000003</v>
      </c>
      <c r="H15" s="77">
        <f t="shared" si="0"/>
        <v>0.2658684910680349</v>
      </c>
    </row>
    <row r="16" spans="2:12" x14ac:dyDescent="0.25">
      <c r="B16" s="75" t="s">
        <v>270</v>
      </c>
      <c r="C16" s="75"/>
      <c r="D16" s="75"/>
      <c r="E16" s="45">
        <f>-545-800-10</f>
        <v>-1355</v>
      </c>
      <c r="F16" s="76">
        <f>-407-681+9</f>
        <v>-1079</v>
      </c>
      <c r="G16" s="45">
        <f>+[1]Árbev_EBITDA_szegmens!K44+[1]Árbev_EBITDA_szegmens!K45+[1]Árbev_EBITDA_szegmens!K46</f>
        <v>-1614.6495629999999</v>
      </c>
      <c r="H16" s="77">
        <f t="shared" si="0"/>
        <v>0.25579240037071371</v>
      </c>
    </row>
    <row r="17" spans="2:13" ht="15.75" thickBot="1" x14ac:dyDescent="0.3">
      <c r="B17" s="75" t="s">
        <v>271</v>
      </c>
      <c r="C17" s="75"/>
      <c r="D17" s="75"/>
      <c r="E17" s="45">
        <f>-E10-241</f>
        <v>6802.9200000000019</v>
      </c>
      <c r="F17" s="76">
        <f>-F10-13</f>
        <v>3677</v>
      </c>
      <c r="G17" s="45">
        <f>+SUM([2]Sheet1!$R$37:$X$37)/1000-G10</f>
        <v>3077.0445830000003</v>
      </c>
      <c r="H17" s="77">
        <f t="shared" si="0"/>
        <v>0.85012782159369094</v>
      </c>
    </row>
    <row r="18" spans="2:13" ht="15.75" thickBot="1" x14ac:dyDescent="0.3">
      <c r="B18" s="78" t="s">
        <v>273</v>
      </c>
      <c r="C18" s="78"/>
      <c r="D18" s="78"/>
      <c r="E18" s="80">
        <f>+SUM(E12:E17)</f>
        <v>-16885.079999999998</v>
      </c>
      <c r="F18" s="79">
        <f>+SUM(F12:F17)</f>
        <v>-16437</v>
      </c>
      <c r="G18" s="80">
        <f>+SUM(G12:G17)</f>
        <v>-11634.632559</v>
      </c>
      <c r="H18" s="81">
        <f t="shared" si="0"/>
        <v>2.7260448987041386E-2</v>
      </c>
    </row>
    <row r="19" spans="2:13" ht="26.25" x14ac:dyDescent="0.25">
      <c r="B19" s="75" t="s">
        <v>266</v>
      </c>
      <c r="C19" s="75" t="s">
        <v>277</v>
      </c>
      <c r="D19" s="75"/>
      <c r="E19" s="45">
        <f t="shared" ref="E19:G24" si="2">+E5+E12</f>
        <v>1077.5910000000003</v>
      </c>
      <c r="F19" s="76">
        <f>+F5+F12</f>
        <v>1113.5337209999998</v>
      </c>
      <c r="G19" s="45">
        <f t="shared" si="2"/>
        <v>1596.6812519999976</v>
      </c>
      <c r="H19" s="77">
        <f t="shared" si="0"/>
        <v>-3.2278071442435885E-2</v>
      </c>
      <c r="L19" s="45"/>
      <c r="M19" s="83"/>
    </row>
    <row r="20" spans="2:13" ht="26.25" x14ac:dyDescent="0.25">
      <c r="B20" s="75" t="s">
        <v>267</v>
      </c>
      <c r="C20" s="75" t="s">
        <v>278</v>
      </c>
      <c r="D20" s="75"/>
      <c r="E20" s="45">
        <f t="shared" si="2"/>
        <v>432.95699999999999</v>
      </c>
      <c r="F20" s="76">
        <f t="shared" ref="F20:F24" si="3">+F6+F13</f>
        <v>557.77375500000005</v>
      </c>
      <c r="G20" s="45">
        <f t="shared" si="2"/>
        <v>712.66561700000011</v>
      </c>
      <c r="H20" s="77">
        <f t="shared" si="0"/>
        <v>-0.22377667267618218</v>
      </c>
      <c r="L20" s="45"/>
      <c r="M20" s="83"/>
    </row>
    <row r="21" spans="2:13" x14ac:dyDescent="0.25">
      <c r="B21" s="75" t="s">
        <v>268</v>
      </c>
      <c r="C21" s="75" t="s">
        <v>279</v>
      </c>
      <c r="D21" s="75"/>
      <c r="E21" s="45">
        <f t="shared" si="2"/>
        <v>1256.6869999999999</v>
      </c>
      <c r="F21" s="76">
        <f t="shared" si="3"/>
        <v>1167.3799730000001</v>
      </c>
      <c r="G21" s="45">
        <f t="shared" si="2"/>
        <v>763.58220399999982</v>
      </c>
      <c r="H21" s="77">
        <f t="shared" si="0"/>
        <v>7.6502106482513543E-2</v>
      </c>
      <c r="L21" s="45"/>
      <c r="M21" s="83"/>
    </row>
    <row r="22" spans="2:13" x14ac:dyDescent="0.25">
      <c r="B22" s="75" t="s">
        <v>269</v>
      </c>
      <c r="C22" s="75" t="s">
        <v>280</v>
      </c>
      <c r="D22" s="75"/>
      <c r="E22" s="45">
        <f t="shared" si="2"/>
        <v>282.48899999999958</v>
      </c>
      <c r="F22" s="76">
        <f t="shared" si="3"/>
        <v>-141.17447999999968</v>
      </c>
      <c r="G22" s="45">
        <f t="shared" si="2"/>
        <v>125.60722099999975</v>
      </c>
      <c r="H22" s="77">
        <f t="shared" si="0"/>
        <v>-3.000991963986694</v>
      </c>
      <c r="L22" s="45"/>
      <c r="M22" s="83"/>
    </row>
    <row r="23" spans="2:13" x14ac:dyDescent="0.25">
      <c r="B23" s="75" t="s">
        <v>270</v>
      </c>
      <c r="C23" s="75" t="s">
        <v>281</v>
      </c>
      <c r="D23" s="75"/>
      <c r="E23" s="45">
        <f t="shared" si="2"/>
        <v>-1008.037</v>
      </c>
      <c r="F23" s="76">
        <f t="shared" si="3"/>
        <v>-733</v>
      </c>
      <c r="G23" s="45">
        <f t="shared" si="2"/>
        <v>-884.92521499999998</v>
      </c>
      <c r="H23" s="77">
        <f t="shared" si="0"/>
        <v>0.37522100954979543</v>
      </c>
      <c r="L23" s="45"/>
      <c r="M23" s="83"/>
    </row>
    <row r="24" spans="2:13" ht="15.75" thickBot="1" x14ac:dyDescent="0.3">
      <c r="B24" s="75" t="s">
        <v>271</v>
      </c>
      <c r="C24" s="75"/>
      <c r="D24" s="75"/>
      <c r="E24" s="45">
        <f t="shared" si="2"/>
        <v>-241</v>
      </c>
      <c r="F24" s="76">
        <f t="shared" si="3"/>
        <v>-13</v>
      </c>
      <c r="G24" s="45">
        <f t="shared" si="2"/>
        <v>-2.493099999946935E-2</v>
      </c>
      <c r="H24" s="77"/>
      <c r="L24" s="45"/>
      <c r="M24" s="83"/>
    </row>
    <row r="25" spans="2:13" ht="15.75" thickBot="1" x14ac:dyDescent="0.3">
      <c r="B25" s="78" t="s">
        <v>140</v>
      </c>
      <c r="C25" s="78"/>
      <c r="D25" s="78"/>
      <c r="E25" s="80">
        <f>+SUM(E19:E24)</f>
        <v>1800.6869999999997</v>
      </c>
      <c r="F25" s="79">
        <f>+SUM(F19:F24)</f>
        <v>1951.5129690000003</v>
      </c>
      <c r="G25" s="80">
        <f>+SUM(G19:G24)</f>
        <v>2313.586147999998</v>
      </c>
      <c r="H25" s="81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74"/>
  <sheetViews>
    <sheetView topLeftCell="C3" workbookViewId="0">
      <selection activeCell="K4" sqref="K4:S25"/>
    </sheetView>
  </sheetViews>
  <sheetFormatPr defaultRowHeight="15" x14ac:dyDescent="0.25"/>
  <cols>
    <col min="2" max="3" width="37.42578125" customWidth="1"/>
    <col min="4" max="4" width="17.28515625" customWidth="1"/>
    <col min="5" max="5" width="11.42578125" customWidth="1"/>
    <col min="6" max="7" width="11.28515625" customWidth="1"/>
    <col min="8" max="8" width="10.7109375" customWidth="1"/>
    <col min="10" max="10" width="33.42578125" customWidth="1"/>
  </cols>
  <sheetData>
    <row r="2" spans="2:12" ht="15.75" thickBot="1" x14ac:dyDescent="0.3"/>
    <row r="3" spans="2:12" x14ac:dyDescent="0.25">
      <c r="D3" s="64">
        <v>43830</v>
      </c>
      <c r="E3" s="65">
        <v>43465</v>
      </c>
      <c r="F3" s="64">
        <v>43100</v>
      </c>
      <c r="G3" s="65">
        <v>42735</v>
      </c>
      <c r="H3" s="66" t="s">
        <v>264</v>
      </c>
    </row>
    <row r="4" spans="2:12" ht="26.25" x14ac:dyDescent="0.25">
      <c r="B4" s="67" t="s">
        <v>274</v>
      </c>
      <c r="C4" s="67"/>
      <c r="D4" s="69" t="s">
        <v>265</v>
      </c>
      <c r="E4" s="69" t="s">
        <v>265</v>
      </c>
      <c r="F4" s="68" t="s">
        <v>265</v>
      </c>
      <c r="G4" s="69" t="s">
        <v>265</v>
      </c>
      <c r="H4" s="70" t="s">
        <v>288</v>
      </c>
    </row>
    <row r="5" spans="2:12" ht="26.25" x14ac:dyDescent="0.25">
      <c r="B5" s="71" t="s">
        <v>266</v>
      </c>
      <c r="C5" s="75" t="s">
        <v>277</v>
      </c>
      <c r="D5" s="75"/>
      <c r="E5" s="73">
        <v>10230.591</v>
      </c>
      <c r="F5" s="72">
        <f>+[1]Árbev_EBITDA_szegmens!I4</f>
        <v>9557.5337209999998</v>
      </c>
      <c r="G5" s="73">
        <f>+[1]Árbev_EBITDA_szegmens!J4</f>
        <v>8291.0161179999996</v>
      </c>
      <c r="H5" s="74">
        <f>E5/F5-1</f>
        <v>7.0421648371602918E-2</v>
      </c>
      <c r="K5" s="75"/>
      <c r="L5" s="83"/>
    </row>
    <row r="6" spans="2:12" ht="26.25" x14ac:dyDescent="0.25">
      <c r="B6" s="75" t="s">
        <v>267</v>
      </c>
      <c r="C6" s="75" t="s">
        <v>278</v>
      </c>
      <c r="D6" s="75"/>
      <c r="E6" s="45">
        <v>626.95699999999999</v>
      </c>
      <c r="F6" s="76">
        <f>+[1]Árbev_EBITDA_szegmens!I14</f>
        <v>837.77375500000005</v>
      </c>
      <c r="G6" s="45">
        <f>+[1]Árbev_EBITDA_szegmens!J14</f>
        <v>1015.4943420000001</v>
      </c>
      <c r="H6" s="77">
        <f t="shared" ref="H6:H25" si="0">E6/F6-1</f>
        <v>-0.25163924477438426</v>
      </c>
      <c r="K6" s="75"/>
      <c r="L6" s="83"/>
    </row>
    <row r="7" spans="2:12" x14ac:dyDescent="0.25">
      <c r="B7" s="75" t="s">
        <v>268</v>
      </c>
      <c r="C7" s="75" t="s">
        <v>279</v>
      </c>
      <c r="D7" s="75"/>
      <c r="E7" s="45">
        <v>7581.6869999999999</v>
      </c>
      <c r="F7" s="76">
        <f>+[1]Árbev_EBITDA_szegmens!I23</f>
        <v>6216.3799730000001</v>
      </c>
      <c r="G7" s="45">
        <f>+[1]Árbev_EBITDA_szegmens!J23</f>
        <v>3897.1971610000001</v>
      </c>
      <c r="H7" s="77">
        <f t="shared" si="0"/>
        <v>0.21963056198784914</v>
      </c>
      <c r="K7" s="75"/>
      <c r="L7" s="83"/>
    </row>
    <row r="8" spans="2:12" x14ac:dyDescent="0.25">
      <c r="B8" s="75" t="s">
        <v>269</v>
      </c>
      <c r="C8" s="75" t="s">
        <v>280</v>
      </c>
      <c r="D8" s="75"/>
      <c r="E8" s="45">
        <v>6943.4889999999996</v>
      </c>
      <c r="F8" s="76">
        <f>+[1]Árbev_EBITDA_szegmens!I33</f>
        <v>5120.8255200000003</v>
      </c>
      <c r="G8" s="45">
        <f>+[1]Árbev_EBITDA_szegmens!J33</f>
        <v>3091.856252</v>
      </c>
      <c r="H8" s="77">
        <f t="shared" si="0"/>
        <v>0.35593157253285979</v>
      </c>
      <c r="K8" s="75"/>
      <c r="L8" s="83"/>
    </row>
    <row r="9" spans="2:12" x14ac:dyDescent="0.25">
      <c r="B9" s="75" t="s">
        <v>270</v>
      </c>
      <c r="C9" s="75" t="s">
        <v>281</v>
      </c>
      <c r="D9" s="75"/>
      <c r="E9" s="45">
        <v>346.96300000000002</v>
      </c>
      <c r="F9" s="76">
        <v>346</v>
      </c>
      <c r="G9" s="45">
        <f>+[1]Árbev_EBITDA_szegmens!K43</f>
        <v>729.72434799999996</v>
      </c>
      <c r="H9" s="77">
        <f t="shared" si="0"/>
        <v>2.7832369942197843E-3</v>
      </c>
      <c r="K9" s="75"/>
      <c r="L9" s="83"/>
    </row>
    <row r="10" spans="2:12" ht="15.75" thickBot="1" x14ac:dyDescent="0.3">
      <c r="B10" s="75" t="s">
        <v>271</v>
      </c>
      <c r="C10" s="75"/>
      <c r="D10" s="75"/>
      <c r="E10" s="45">
        <f>+'éves P&amp;L_mérleg'!I68-SUM('szegmensek új '!E5:E9)</f>
        <v>-7043.9200000000019</v>
      </c>
      <c r="F10" s="76">
        <f>-3670-20</f>
        <v>-3690</v>
      </c>
      <c r="G10" s="45">
        <f>+([2]KÁT!$C$35+[2]Egyéb!$C$35+[2]Enkisker!$C$35+[2]Eterm!$C$35+[2]Enszolg!$C$35)/1000</f>
        <v>-3077.0695139999998</v>
      </c>
      <c r="H10" s="77">
        <f t="shared" si="0"/>
        <v>0.9089214092140927</v>
      </c>
    </row>
    <row r="11" spans="2:12" ht="15.75" thickBot="1" x14ac:dyDescent="0.3">
      <c r="B11" s="78" t="s">
        <v>272</v>
      </c>
      <c r="C11" s="78"/>
      <c r="D11" s="78"/>
      <c r="E11" s="80">
        <f>+SUM(E5:E10)</f>
        <v>18685.767</v>
      </c>
      <c r="F11" s="79">
        <f>+SUM(F5:F10)</f>
        <v>18388.512969000003</v>
      </c>
      <c r="G11" s="80">
        <f>+SUM(G5:G10)</f>
        <v>13948.218707</v>
      </c>
      <c r="H11" s="81">
        <f t="shared" ref="H11" si="1">F11/G11-1</f>
        <v>0.31834131334430649</v>
      </c>
    </row>
    <row r="12" spans="2:12" ht="26.25" x14ac:dyDescent="0.25">
      <c r="B12" s="75" t="s">
        <v>266</v>
      </c>
      <c r="C12" s="75"/>
      <c r="D12" s="75"/>
      <c r="E12" s="45">
        <f>-8697-30-426</f>
        <v>-9153</v>
      </c>
      <c r="F12" s="76">
        <f>-8660-1+217</f>
        <v>-8444</v>
      </c>
      <c r="G12" s="45">
        <f>+[1]Árbev_EBITDA_szegmens!J5+[1]Árbev_EBITDA_szegmens!J6+[1]Árbev_EBITDA_szegmens!J7+[1]Árbev_EBITDA_szegmens!J8</f>
        <v>-6694.334866000002</v>
      </c>
      <c r="H12" s="77">
        <f t="shared" si="0"/>
        <v>8.3964945523448575E-2</v>
      </c>
    </row>
    <row r="13" spans="2:12" ht="26.25" x14ac:dyDescent="0.25">
      <c r="B13" s="75" t="s">
        <v>267</v>
      </c>
      <c r="C13" s="75"/>
      <c r="D13" s="75"/>
      <c r="E13" s="45">
        <f>-164-73+43</f>
        <v>-194</v>
      </c>
      <c r="F13" s="76">
        <f>-221-97+38</f>
        <v>-280</v>
      </c>
      <c r="G13" s="45">
        <f>+[1]Árbev_EBITDA_szegmens!J15+[1]Árbev_EBITDA_szegmens!J16+[1]Árbev_EBITDA_szegmens!J17</f>
        <v>-302.82872500000002</v>
      </c>
      <c r="H13" s="77">
        <f t="shared" si="0"/>
        <v>-0.30714285714285716</v>
      </c>
    </row>
    <row r="14" spans="2:12" x14ac:dyDescent="0.25">
      <c r="B14" s="75" t="s">
        <v>268</v>
      </c>
      <c r="C14" s="75"/>
      <c r="D14" s="75"/>
      <c r="E14" s="45">
        <f>-4927-1611+213</f>
        <v>-6325</v>
      </c>
      <c r="F14" s="76">
        <f>-3759-1345+55</f>
        <v>-5049</v>
      </c>
      <c r="G14" s="45">
        <f>+[1]Árbev_EBITDA_szegmens!J24+[1]Árbev_EBITDA_szegmens!J25+[1]Árbev_EBITDA_szegmens!J26+[1]Árbev_EBITDA_szegmens!J27</f>
        <v>-3133.6149570000002</v>
      </c>
      <c r="H14" s="77">
        <f t="shared" si="0"/>
        <v>0.25272331154684102</v>
      </c>
    </row>
    <row r="15" spans="2:12" x14ac:dyDescent="0.25">
      <c r="B15" s="75" t="s">
        <v>269</v>
      </c>
      <c r="C15" s="75"/>
      <c r="D15" s="75"/>
      <c r="E15" s="45">
        <f>-6626-53+18</f>
        <v>-6661</v>
      </c>
      <c r="F15" s="76">
        <f>-5217-47+2</f>
        <v>-5262</v>
      </c>
      <c r="G15" s="45">
        <f>+[1]Árbev_EBITDA_szegmens!J34+[1]Árbev_EBITDA_szegmens!J35+[1]Árbev_EBITDA_szegmens!J36+[1]Árbev_EBITDA_szegmens!J37</f>
        <v>-2966.2490310000003</v>
      </c>
      <c r="H15" s="77">
        <f t="shared" si="0"/>
        <v>0.2658684910680349</v>
      </c>
    </row>
    <row r="16" spans="2:12" x14ac:dyDescent="0.25">
      <c r="B16" s="75" t="s">
        <v>270</v>
      </c>
      <c r="C16" s="75"/>
      <c r="D16" s="75"/>
      <c r="E16" s="45">
        <f>-545-800-10</f>
        <v>-1355</v>
      </c>
      <c r="F16" s="76">
        <f>-407-681+9</f>
        <v>-1079</v>
      </c>
      <c r="G16" s="45">
        <f>+[1]Árbev_EBITDA_szegmens!K44+[1]Árbev_EBITDA_szegmens!K45+[1]Árbev_EBITDA_szegmens!K46</f>
        <v>-1614.6495629999999</v>
      </c>
      <c r="H16" s="77">
        <f t="shared" si="0"/>
        <v>0.25579240037071371</v>
      </c>
    </row>
    <row r="17" spans="2:13" ht="15.75" thickBot="1" x14ac:dyDescent="0.3">
      <c r="B17" s="75" t="s">
        <v>271</v>
      </c>
      <c r="C17" s="75"/>
      <c r="D17" s="75"/>
      <c r="E17" s="45">
        <f>-E10-241</f>
        <v>6802.9200000000019</v>
      </c>
      <c r="F17" s="76">
        <f>-F10-13</f>
        <v>3677</v>
      </c>
      <c r="G17" s="45">
        <f>+SUM([2]Sheet1!$R$37:$X$37)/1000-G10</f>
        <v>3077.0445830000003</v>
      </c>
      <c r="H17" s="77">
        <f t="shared" si="0"/>
        <v>0.85012782159369094</v>
      </c>
    </row>
    <row r="18" spans="2:13" ht="15.75" thickBot="1" x14ac:dyDescent="0.3">
      <c r="B18" s="78" t="s">
        <v>273</v>
      </c>
      <c r="C18" s="78"/>
      <c r="D18" s="78"/>
      <c r="E18" s="80">
        <f>+SUM(E12:E17)</f>
        <v>-16885.079999999998</v>
      </c>
      <c r="F18" s="79">
        <f>+SUM(F12:F17)</f>
        <v>-16437</v>
      </c>
      <c r="G18" s="80">
        <f>+SUM(G12:G17)</f>
        <v>-11634.632559</v>
      </c>
      <c r="H18" s="81">
        <f t="shared" si="0"/>
        <v>2.7260448987041386E-2</v>
      </c>
    </row>
    <row r="19" spans="2:13" ht="26.25" x14ac:dyDescent="0.25">
      <c r="B19" s="75" t="s">
        <v>266</v>
      </c>
      <c r="C19" s="75" t="s">
        <v>277</v>
      </c>
      <c r="D19" s="75"/>
      <c r="E19" s="45">
        <f t="shared" ref="E19:G24" si="2">+E5+E12</f>
        <v>1077.5910000000003</v>
      </c>
      <c r="F19" s="76">
        <f>+F5+F12</f>
        <v>1113.5337209999998</v>
      </c>
      <c r="G19" s="45">
        <f t="shared" si="2"/>
        <v>1596.6812519999976</v>
      </c>
      <c r="H19" s="77">
        <f t="shared" si="0"/>
        <v>-3.2278071442435885E-2</v>
      </c>
      <c r="L19" s="45"/>
      <c r="M19" s="83"/>
    </row>
    <row r="20" spans="2:13" ht="26.25" x14ac:dyDescent="0.25">
      <c r="B20" s="75" t="s">
        <v>267</v>
      </c>
      <c r="C20" s="75" t="s">
        <v>278</v>
      </c>
      <c r="D20" s="75"/>
      <c r="E20" s="45">
        <f t="shared" si="2"/>
        <v>432.95699999999999</v>
      </c>
      <c r="F20" s="76">
        <f t="shared" si="2"/>
        <v>557.77375500000005</v>
      </c>
      <c r="G20" s="45">
        <f t="shared" si="2"/>
        <v>712.66561700000011</v>
      </c>
      <c r="H20" s="77">
        <f t="shared" si="0"/>
        <v>-0.22377667267618218</v>
      </c>
      <c r="L20" s="45"/>
      <c r="M20" s="83"/>
    </row>
    <row r="21" spans="2:13" x14ac:dyDescent="0.25">
      <c r="B21" s="75" t="s">
        <v>268</v>
      </c>
      <c r="C21" s="75" t="s">
        <v>279</v>
      </c>
      <c r="D21" s="75"/>
      <c r="E21" s="45">
        <f t="shared" si="2"/>
        <v>1256.6869999999999</v>
      </c>
      <c r="F21" s="76">
        <f t="shared" si="2"/>
        <v>1167.3799730000001</v>
      </c>
      <c r="G21" s="45">
        <f t="shared" si="2"/>
        <v>763.58220399999982</v>
      </c>
      <c r="H21" s="77">
        <f t="shared" si="0"/>
        <v>7.6502106482513543E-2</v>
      </c>
      <c r="L21" s="45"/>
      <c r="M21" s="83"/>
    </row>
    <row r="22" spans="2:13" x14ac:dyDescent="0.25">
      <c r="B22" s="75" t="s">
        <v>269</v>
      </c>
      <c r="C22" s="75" t="s">
        <v>280</v>
      </c>
      <c r="D22" s="75"/>
      <c r="E22" s="45">
        <f t="shared" si="2"/>
        <v>282.48899999999958</v>
      </c>
      <c r="F22" s="76">
        <f t="shared" si="2"/>
        <v>-141.17447999999968</v>
      </c>
      <c r="G22" s="45">
        <f t="shared" si="2"/>
        <v>125.60722099999975</v>
      </c>
      <c r="H22" s="77">
        <f t="shared" si="0"/>
        <v>-3.000991963986694</v>
      </c>
      <c r="L22" s="45"/>
      <c r="M22" s="83"/>
    </row>
    <row r="23" spans="2:13" x14ac:dyDescent="0.25">
      <c r="B23" s="75" t="s">
        <v>270</v>
      </c>
      <c r="C23" s="75" t="s">
        <v>281</v>
      </c>
      <c r="D23" s="75"/>
      <c r="E23" s="45">
        <f t="shared" si="2"/>
        <v>-1008.037</v>
      </c>
      <c r="F23" s="76">
        <f t="shared" si="2"/>
        <v>-733</v>
      </c>
      <c r="G23" s="45">
        <f t="shared" si="2"/>
        <v>-884.92521499999998</v>
      </c>
      <c r="H23" s="77">
        <f t="shared" si="0"/>
        <v>0.37522100954979543</v>
      </c>
      <c r="L23" s="45"/>
      <c r="M23" s="83"/>
    </row>
    <row r="24" spans="2:13" ht="15.75" thickBot="1" x14ac:dyDescent="0.3">
      <c r="B24" s="75" t="s">
        <v>271</v>
      </c>
      <c r="C24" s="75"/>
      <c r="D24" s="75"/>
      <c r="E24" s="45">
        <f t="shared" si="2"/>
        <v>-241</v>
      </c>
      <c r="F24" s="76">
        <f t="shared" si="2"/>
        <v>-13</v>
      </c>
      <c r="G24" s="45">
        <f t="shared" si="2"/>
        <v>-2.493099999946935E-2</v>
      </c>
      <c r="H24" s="77"/>
      <c r="L24" s="45"/>
      <c r="M24" s="83"/>
    </row>
    <row r="25" spans="2:13" ht="15.75" thickBot="1" x14ac:dyDescent="0.3">
      <c r="B25" s="78" t="s">
        <v>140</v>
      </c>
      <c r="C25" s="78"/>
      <c r="D25" s="78"/>
      <c r="E25" s="80">
        <f>+SUM(E19:E24)</f>
        <v>1800.6869999999997</v>
      </c>
      <c r="F25" s="79">
        <f>+SUM(F19:F24)</f>
        <v>1951.5129690000003</v>
      </c>
      <c r="G25" s="80">
        <f>+SUM(G19:G24)</f>
        <v>2313.586147999998</v>
      </c>
      <c r="H25" s="81">
        <f t="shared" si="0"/>
        <v>-7.7286685456816273E-2</v>
      </c>
    </row>
    <row r="28" spans="2:13" x14ac:dyDescent="0.25">
      <c r="B28" s="204" t="s">
        <v>328</v>
      </c>
      <c r="C28" s="204" t="s">
        <v>329</v>
      </c>
    </row>
    <row r="29" spans="2:13" x14ac:dyDescent="0.25">
      <c r="B29" s="163" t="s">
        <v>330</v>
      </c>
      <c r="C29" s="163" t="s">
        <v>331</v>
      </c>
      <c r="D29" s="208">
        <v>2016</v>
      </c>
      <c r="E29" s="208">
        <v>2017</v>
      </c>
      <c r="F29" s="208">
        <v>2018</v>
      </c>
      <c r="G29" s="208">
        <v>2019</v>
      </c>
    </row>
    <row r="30" spans="2:13" x14ac:dyDescent="0.25">
      <c r="B30" t="s">
        <v>272</v>
      </c>
      <c r="C30" t="s">
        <v>326</v>
      </c>
      <c r="D30" s="76">
        <f>G5</f>
        <v>8291.0161179999996</v>
      </c>
      <c r="E30" s="45">
        <f>F5</f>
        <v>9557.5337209999998</v>
      </c>
      <c r="F30" s="76">
        <f>E5</f>
        <v>10230.591</v>
      </c>
    </row>
    <row r="31" spans="2:13" ht="15.75" thickBot="1" x14ac:dyDescent="0.3">
      <c r="B31" t="s">
        <v>273</v>
      </c>
      <c r="C31" t="s">
        <v>327</v>
      </c>
      <c r="D31" s="76">
        <f>G12</f>
        <v>-6694.334866000002</v>
      </c>
      <c r="E31" s="45">
        <f>F12</f>
        <v>-8444</v>
      </c>
      <c r="F31" s="76">
        <f>E12</f>
        <v>-9153</v>
      </c>
    </row>
    <row r="32" spans="2:13" ht="15.75" thickBot="1" x14ac:dyDescent="0.3">
      <c r="B32" s="205" t="s">
        <v>140</v>
      </c>
      <c r="C32" s="205" t="s">
        <v>140</v>
      </c>
      <c r="D32" s="206">
        <f>G19</f>
        <v>1596.6812519999976</v>
      </c>
      <c r="E32" s="207">
        <f>F19</f>
        <v>1113.5337209999998</v>
      </c>
      <c r="F32" s="206">
        <f>E19</f>
        <v>1077.5910000000003</v>
      </c>
      <c r="G32" s="205"/>
    </row>
    <row r="35" spans="2:7" x14ac:dyDescent="0.25">
      <c r="B35" s="204" t="s">
        <v>328</v>
      </c>
      <c r="C35" s="204" t="s">
        <v>329</v>
      </c>
    </row>
    <row r="36" spans="2:7" x14ac:dyDescent="0.25">
      <c r="B36" s="163" t="s">
        <v>324</v>
      </c>
      <c r="C36" s="163" t="s">
        <v>325</v>
      </c>
      <c r="D36" s="208">
        <v>2016</v>
      </c>
      <c r="E36" s="208">
        <v>2017</v>
      </c>
      <c r="F36" s="208">
        <v>2018</v>
      </c>
      <c r="G36" s="208">
        <v>2019</v>
      </c>
    </row>
    <row r="37" spans="2:7" x14ac:dyDescent="0.25">
      <c r="B37" t="s">
        <v>272</v>
      </c>
      <c r="C37" t="s">
        <v>326</v>
      </c>
      <c r="D37" s="76">
        <f>G6</f>
        <v>1015.4943420000001</v>
      </c>
      <c r="E37" s="45">
        <f>F6</f>
        <v>837.77375500000005</v>
      </c>
      <c r="F37" s="76">
        <f>E6</f>
        <v>626.95699999999999</v>
      </c>
    </row>
    <row r="38" spans="2:7" ht="15.75" thickBot="1" x14ac:dyDescent="0.3">
      <c r="B38" t="s">
        <v>273</v>
      </c>
      <c r="C38" t="s">
        <v>327</v>
      </c>
      <c r="D38" s="76">
        <f>G13</f>
        <v>-302.82872500000002</v>
      </c>
      <c r="E38" s="45">
        <f>F13</f>
        <v>-280</v>
      </c>
      <c r="F38" s="76">
        <f>E13</f>
        <v>-194</v>
      </c>
    </row>
    <row r="39" spans="2:7" ht="15.75" thickBot="1" x14ac:dyDescent="0.3">
      <c r="B39" s="205" t="s">
        <v>140</v>
      </c>
      <c r="C39" s="205" t="s">
        <v>140</v>
      </c>
      <c r="D39" s="206">
        <f>G20</f>
        <v>712.66561700000011</v>
      </c>
      <c r="E39" s="207">
        <f>F20</f>
        <v>557.77375500000005</v>
      </c>
      <c r="F39" s="206">
        <f>E20</f>
        <v>432.95699999999999</v>
      </c>
      <c r="G39" s="205"/>
    </row>
    <row r="42" spans="2:7" x14ac:dyDescent="0.25">
      <c r="B42" s="204" t="s">
        <v>328</v>
      </c>
      <c r="C42" s="204" t="s">
        <v>329</v>
      </c>
    </row>
    <row r="43" spans="2:7" x14ac:dyDescent="0.25">
      <c r="B43" s="163" t="s">
        <v>268</v>
      </c>
      <c r="C43" s="163" t="s">
        <v>279</v>
      </c>
      <c r="D43" s="208">
        <v>2016</v>
      </c>
      <c r="E43" s="208">
        <v>2017</v>
      </c>
      <c r="F43" s="208">
        <v>2018</v>
      </c>
      <c r="G43" s="208">
        <v>2019</v>
      </c>
    </row>
    <row r="44" spans="2:7" x14ac:dyDescent="0.25">
      <c r="B44" t="s">
        <v>272</v>
      </c>
      <c r="C44" t="s">
        <v>326</v>
      </c>
      <c r="D44" s="76">
        <f>G7</f>
        <v>3897.1971610000001</v>
      </c>
      <c r="E44" s="45">
        <f>F7</f>
        <v>6216.3799730000001</v>
      </c>
      <c r="F44" s="76">
        <f>E7</f>
        <v>7581.6869999999999</v>
      </c>
    </row>
    <row r="45" spans="2:7" ht="15.75" thickBot="1" x14ac:dyDescent="0.3">
      <c r="B45" t="s">
        <v>273</v>
      </c>
      <c r="C45" t="s">
        <v>327</v>
      </c>
      <c r="D45" s="76">
        <f>G14</f>
        <v>-3133.6149570000002</v>
      </c>
      <c r="E45" s="45">
        <f>F14</f>
        <v>-5049</v>
      </c>
      <c r="F45" s="76">
        <f>E14</f>
        <v>-6325</v>
      </c>
    </row>
    <row r="46" spans="2:7" ht="15.75" thickBot="1" x14ac:dyDescent="0.3">
      <c r="B46" s="205" t="s">
        <v>140</v>
      </c>
      <c r="C46" s="205" t="s">
        <v>140</v>
      </c>
      <c r="D46" s="206">
        <f>G21</f>
        <v>763.58220399999982</v>
      </c>
      <c r="E46" s="207">
        <f>F21</f>
        <v>1167.3799730000001</v>
      </c>
      <c r="F46" s="206">
        <f>E21</f>
        <v>1256.6869999999999</v>
      </c>
      <c r="G46" s="205"/>
    </row>
    <row r="49" spans="2:7" x14ac:dyDescent="0.25">
      <c r="B49" s="204" t="s">
        <v>328</v>
      </c>
      <c r="C49" s="204" t="s">
        <v>329</v>
      </c>
    </row>
    <row r="50" spans="2:7" x14ac:dyDescent="0.25">
      <c r="B50" s="163" t="s">
        <v>269</v>
      </c>
      <c r="C50" s="163" t="s">
        <v>332</v>
      </c>
      <c r="D50" s="208">
        <v>2016</v>
      </c>
      <c r="E50" s="208">
        <v>2017</v>
      </c>
      <c r="F50" s="208">
        <v>2018</v>
      </c>
      <c r="G50" s="208">
        <v>2019</v>
      </c>
    </row>
    <row r="51" spans="2:7" x14ac:dyDescent="0.25">
      <c r="B51" t="s">
        <v>272</v>
      </c>
      <c r="C51" t="s">
        <v>326</v>
      </c>
      <c r="D51" s="76">
        <f>G8</f>
        <v>3091.856252</v>
      </c>
      <c r="E51" s="45">
        <f>F8</f>
        <v>5120.8255200000003</v>
      </c>
      <c r="F51" s="76">
        <f>E8</f>
        <v>6943.4889999999996</v>
      </c>
    </row>
    <row r="52" spans="2:7" ht="15.75" thickBot="1" x14ac:dyDescent="0.3">
      <c r="B52" t="s">
        <v>273</v>
      </c>
      <c r="C52" t="s">
        <v>327</v>
      </c>
      <c r="D52" s="76">
        <f>G15</f>
        <v>-2966.2490310000003</v>
      </c>
      <c r="E52" s="45">
        <f>F15</f>
        <v>-5262</v>
      </c>
      <c r="F52" s="76">
        <f>E15</f>
        <v>-6661</v>
      </c>
    </row>
    <row r="53" spans="2:7" ht="15.75" thickBot="1" x14ac:dyDescent="0.3">
      <c r="B53" s="205" t="s">
        <v>140</v>
      </c>
      <c r="C53" s="205" t="s">
        <v>140</v>
      </c>
      <c r="D53" s="206">
        <f>G22</f>
        <v>125.60722099999975</v>
      </c>
      <c r="E53" s="207">
        <f>F22</f>
        <v>-141.17447999999968</v>
      </c>
      <c r="F53" s="206">
        <f>E22</f>
        <v>282.48899999999958</v>
      </c>
      <c r="G53" s="205"/>
    </row>
    <row r="56" spans="2:7" x14ac:dyDescent="0.25">
      <c r="B56" s="204" t="s">
        <v>328</v>
      </c>
      <c r="C56" s="204" t="s">
        <v>329</v>
      </c>
    </row>
    <row r="57" spans="2:7" x14ac:dyDescent="0.25">
      <c r="B57" s="163" t="s">
        <v>270</v>
      </c>
      <c r="C57" s="163" t="s">
        <v>281</v>
      </c>
      <c r="D57" s="208">
        <v>2016</v>
      </c>
      <c r="E57" s="208">
        <v>2017</v>
      </c>
      <c r="F57" s="208">
        <v>2018</v>
      </c>
      <c r="G57" s="208">
        <v>2019</v>
      </c>
    </row>
    <row r="58" spans="2:7" x14ac:dyDescent="0.25">
      <c r="B58" t="s">
        <v>272</v>
      </c>
      <c r="C58" t="s">
        <v>326</v>
      </c>
      <c r="D58" s="76">
        <f>G9</f>
        <v>729.72434799999996</v>
      </c>
      <c r="E58" s="76">
        <f>F9</f>
        <v>346</v>
      </c>
      <c r="F58" s="76">
        <f>E9</f>
        <v>346.96300000000002</v>
      </c>
    </row>
    <row r="59" spans="2:7" ht="15.75" thickBot="1" x14ac:dyDescent="0.3">
      <c r="B59" t="s">
        <v>273</v>
      </c>
      <c r="C59" t="s">
        <v>327</v>
      </c>
      <c r="D59" s="76">
        <f>G16</f>
        <v>-1614.6495629999999</v>
      </c>
      <c r="E59" s="76">
        <f>F16</f>
        <v>-1079</v>
      </c>
      <c r="F59" s="76">
        <f>E16</f>
        <v>-1355</v>
      </c>
    </row>
    <row r="60" spans="2:7" ht="15.75" thickBot="1" x14ac:dyDescent="0.3">
      <c r="B60" s="205" t="s">
        <v>140</v>
      </c>
      <c r="C60" s="205" t="s">
        <v>140</v>
      </c>
      <c r="D60" s="206">
        <f>G23</f>
        <v>-884.92521499999998</v>
      </c>
      <c r="E60" s="206">
        <f>F23</f>
        <v>-733</v>
      </c>
      <c r="F60" s="206">
        <f>E23</f>
        <v>-1008.037</v>
      </c>
      <c r="G60" s="205"/>
    </row>
    <row r="63" spans="2:7" x14ac:dyDescent="0.25">
      <c r="B63" s="204" t="s">
        <v>328</v>
      </c>
      <c r="C63" s="204" t="s">
        <v>329</v>
      </c>
    </row>
    <row r="64" spans="2:7" x14ac:dyDescent="0.25">
      <c r="B64" s="163" t="s">
        <v>333</v>
      </c>
      <c r="C64" s="163" t="s">
        <v>336</v>
      </c>
      <c r="D64" s="208">
        <v>2016</v>
      </c>
      <c r="E64" s="208">
        <v>2017</v>
      </c>
      <c r="F64" s="208">
        <v>2018</v>
      </c>
      <c r="G64" s="208">
        <v>2019</v>
      </c>
    </row>
    <row r="65" spans="2:7" x14ac:dyDescent="0.25">
      <c r="B65" t="s">
        <v>272</v>
      </c>
      <c r="C65" t="s">
        <v>326</v>
      </c>
      <c r="D65" s="76">
        <f>D58+D51+D44+D37+D30</f>
        <v>17025.288221000003</v>
      </c>
      <c r="E65" s="76">
        <f t="shared" ref="E65:F65" si="3">E58+E51+E44+E37+E30</f>
        <v>22078.512969000003</v>
      </c>
      <c r="F65" s="76">
        <f t="shared" si="3"/>
        <v>25729.686999999998</v>
      </c>
    </row>
    <row r="66" spans="2:7" ht="15.75" thickBot="1" x14ac:dyDescent="0.3">
      <c r="B66" t="s">
        <v>273</v>
      </c>
      <c r="C66" t="s">
        <v>327</v>
      </c>
      <c r="D66" s="76">
        <f t="shared" ref="D66:F66" si="4">D59+D52+D45+D38+D31</f>
        <v>-14711.677142000002</v>
      </c>
      <c r="E66" s="76">
        <f t="shared" si="4"/>
        <v>-20114</v>
      </c>
      <c r="F66" s="76">
        <f t="shared" si="4"/>
        <v>-23688</v>
      </c>
    </row>
    <row r="67" spans="2:7" ht="15.75" thickBot="1" x14ac:dyDescent="0.3">
      <c r="B67" s="205" t="s">
        <v>140</v>
      </c>
      <c r="C67" s="205" t="s">
        <v>140</v>
      </c>
      <c r="D67" s="206">
        <f>D60+D53+D46+D39+D32</f>
        <v>2313.6110789999975</v>
      </c>
      <c r="E67" s="206">
        <f t="shared" ref="E67:F67" si="5">E60+E53+E46+E39+E32</f>
        <v>1964.5129690000003</v>
      </c>
      <c r="F67" s="206">
        <f t="shared" si="5"/>
        <v>2041.6869999999999</v>
      </c>
      <c r="G67" s="205"/>
    </row>
    <row r="70" spans="2:7" x14ac:dyDescent="0.25">
      <c r="B70" s="204" t="s">
        <v>328</v>
      </c>
      <c r="C70" s="204" t="s">
        <v>329</v>
      </c>
    </row>
    <row r="71" spans="2:7" x14ac:dyDescent="0.25">
      <c r="B71" s="163" t="s">
        <v>334</v>
      </c>
      <c r="C71" s="163" t="s">
        <v>335</v>
      </c>
      <c r="D71" s="208">
        <v>2016</v>
      </c>
      <c r="E71" s="208">
        <v>2017</v>
      </c>
      <c r="F71" s="208">
        <v>2018</v>
      </c>
      <c r="G71" s="208">
        <v>2019</v>
      </c>
    </row>
    <row r="72" spans="2:7" x14ac:dyDescent="0.25">
      <c r="B72" t="s">
        <v>272</v>
      </c>
      <c r="C72" t="s">
        <v>326</v>
      </c>
      <c r="D72" s="76">
        <f>D65+G10</f>
        <v>13948.218707000004</v>
      </c>
      <c r="E72" s="76">
        <f>E65+F10</f>
        <v>18388.512969000003</v>
      </c>
      <c r="F72" s="76">
        <f>F65+E10</f>
        <v>18685.766999999996</v>
      </c>
    </row>
    <row r="73" spans="2:7" ht="15.75" thickBot="1" x14ac:dyDescent="0.3">
      <c r="B73" t="s">
        <v>273</v>
      </c>
      <c r="C73" t="s">
        <v>327</v>
      </c>
      <c r="D73" s="76">
        <f>D66+G17</f>
        <v>-11634.632559000001</v>
      </c>
      <c r="E73" s="76">
        <f>E66+F17</f>
        <v>-16437</v>
      </c>
      <c r="F73" s="76">
        <f>F66+E17</f>
        <v>-16885.079999999998</v>
      </c>
    </row>
    <row r="74" spans="2:7" ht="15.75" thickBot="1" x14ac:dyDescent="0.3">
      <c r="B74" s="205" t="s">
        <v>140</v>
      </c>
      <c r="C74" s="205" t="s">
        <v>140</v>
      </c>
      <c r="D74" s="206">
        <f>D67+G24</f>
        <v>2313.586147999998</v>
      </c>
      <c r="E74" s="206">
        <f>E67+F24</f>
        <v>1951.5129690000003</v>
      </c>
      <c r="F74" s="206">
        <f>F67+E24</f>
        <v>1800.6869999999999</v>
      </c>
      <c r="G74" s="20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E72"/>
  <sheetViews>
    <sheetView zoomScale="70" zoomScaleNormal="70" workbookViewId="0">
      <selection activeCell="B18" sqref="B18"/>
    </sheetView>
  </sheetViews>
  <sheetFormatPr defaultRowHeight="15" x14ac:dyDescent="0.25"/>
  <cols>
    <col min="1" max="1" width="37.140625" bestFit="1" customWidth="1"/>
    <col min="2" max="5" width="29.85546875" customWidth="1"/>
  </cols>
  <sheetData>
    <row r="1" spans="1:5" x14ac:dyDescent="0.25">
      <c r="C1" s="203">
        <v>43646</v>
      </c>
      <c r="D1" s="65">
        <v>43281</v>
      </c>
      <c r="E1" s="64">
        <v>42916</v>
      </c>
    </row>
    <row r="2" spans="1:5" x14ac:dyDescent="0.25">
      <c r="A2" s="67" t="s">
        <v>274</v>
      </c>
      <c r="B2" s="67"/>
      <c r="C2" s="68" t="s">
        <v>265</v>
      </c>
      <c r="D2" s="69" t="s">
        <v>265</v>
      </c>
      <c r="E2" s="68" t="s">
        <v>265</v>
      </c>
    </row>
    <row r="3" spans="1:5" ht="26.25" x14ac:dyDescent="0.25">
      <c r="A3" s="71" t="s">
        <v>266</v>
      </c>
      <c r="B3" s="75" t="s">
        <v>277</v>
      </c>
      <c r="C3" s="72">
        <v>8408</v>
      </c>
      <c r="D3" s="73">
        <v>10230.591</v>
      </c>
      <c r="E3" s="72">
        <v>9557.5337209999998</v>
      </c>
    </row>
    <row r="4" spans="1:5" ht="26.25" x14ac:dyDescent="0.25">
      <c r="A4" s="75" t="s">
        <v>267</v>
      </c>
      <c r="B4" s="75" t="s">
        <v>278</v>
      </c>
      <c r="C4" s="76">
        <v>1594</v>
      </c>
      <c r="D4" s="45">
        <v>626.95699999999999</v>
      </c>
      <c r="E4" s="76">
        <v>837.77375500000005</v>
      </c>
    </row>
    <row r="5" spans="1:5" x14ac:dyDescent="0.25">
      <c r="A5" s="75" t="s">
        <v>268</v>
      </c>
      <c r="B5" s="75" t="s">
        <v>279</v>
      </c>
      <c r="C5" s="76">
        <v>7841</v>
      </c>
      <c r="D5" s="45">
        <v>7581.6869999999999</v>
      </c>
      <c r="E5" s="76">
        <v>6216.3799730000001</v>
      </c>
    </row>
    <row r="6" spans="1:5" x14ac:dyDescent="0.25">
      <c r="A6" s="75" t="s">
        <v>269</v>
      </c>
      <c r="B6" s="75" t="s">
        <v>280</v>
      </c>
      <c r="C6" s="76">
        <v>7038</v>
      </c>
      <c r="D6" s="45">
        <v>6943.4889999999996</v>
      </c>
      <c r="E6" s="76">
        <v>5120.8255200000003</v>
      </c>
    </row>
    <row r="7" spans="1:5" x14ac:dyDescent="0.25">
      <c r="A7" s="75" t="s">
        <v>270</v>
      </c>
      <c r="B7" s="75" t="s">
        <v>281</v>
      </c>
      <c r="C7" s="76">
        <v>303</v>
      </c>
      <c r="D7" s="45">
        <v>346.96300000000002</v>
      </c>
      <c r="E7" s="76">
        <v>346</v>
      </c>
    </row>
    <row r="8" spans="1:5" ht="15.75" thickBot="1" x14ac:dyDescent="0.3">
      <c r="A8" s="75" t="s">
        <v>271</v>
      </c>
      <c r="B8" s="75"/>
      <c r="C8" s="76">
        <v>-7189</v>
      </c>
      <c r="D8" s="45">
        <v>-7043.9200000000019</v>
      </c>
      <c r="E8" s="76">
        <v>-3690</v>
      </c>
    </row>
    <row r="9" spans="1:5" ht="15.75" thickBot="1" x14ac:dyDescent="0.3">
      <c r="A9" s="78" t="s">
        <v>272</v>
      </c>
      <c r="B9" s="78"/>
      <c r="C9" s="79">
        <f>SUM(C3:C8)</f>
        <v>17995</v>
      </c>
      <c r="D9" s="80">
        <v>18685.767</v>
      </c>
      <c r="E9" s="79">
        <v>18388.512969000003</v>
      </c>
    </row>
    <row r="10" spans="1:5" ht="26.25" x14ac:dyDescent="0.25">
      <c r="A10" s="75" t="s">
        <v>266</v>
      </c>
      <c r="B10" s="75"/>
      <c r="C10" s="76">
        <v>-7250</v>
      </c>
      <c r="D10" s="45">
        <v>-9153</v>
      </c>
      <c r="E10" s="76">
        <v>-8444</v>
      </c>
    </row>
    <row r="11" spans="1:5" ht="26.25" x14ac:dyDescent="0.25">
      <c r="A11" s="75" t="s">
        <v>267</v>
      </c>
      <c r="B11" s="75"/>
      <c r="C11" s="76">
        <v>-324</v>
      </c>
      <c r="D11" s="45">
        <v>-194</v>
      </c>
      <c r="E11" s="76">
        <v>-280</v>
      </c>
    </row>
    <row r="12" spans="1:5" x14ac:dyDescent="0.25">
      <c r="A12" s="75" t="s">
        <v>268</v>
      </c>
      <c r="B12" s="75"/>
      <c r="C12" s="76">
        <v>-6285</v>
      </c>
      <c r="D12" s="45">
        <v>-6325</v>
      </c>
      <c r="E12" s="76">
        <v>-5049</v>
      </c>
    </row>
    <row r="13" spans="1:5" x14ac:dyDescent="0.25">
      <c r="A13" s="75" t="s">
        <v>269</v>
      </c>
      <c r="B13" s="75"/>
      <c r="C13" s="76">
        <v>-6684</v>
      </c>
      <c r="D13" s="45">
        <v>-6661</v>
      </c>
      <c r="E13" s="76">
        <v>-5262</v>
      </c>
    </row>
    <row r="14" spans="1:5" x14ac:dyDescent="0.25">
      <c r="A14" s="75" t="s">
        <v>270</v>
      </c>
      <c r="B14" s="75"/>
      <c r="C14" s="76">
        <v>-1018</v>
      </c>
      <c r="D14" s="45">
        <v>-1355</v>
      </c>
      <c r="E14" s="76">
        <v>-1079</v>
      </c>
    </row>
    <row r="15" spans="1:5" ht="15.75" thickBot="1" x14ac:dyDescent="0.3">
      <c r="A15" s="75" t="s">
        <v>271</v>
      </c>
      <c r="B15" s="75"/>
      <c r="C15" s="76">
        <v>6365</v>
      </c>
      <c r="D15" s="45">
        <v>6802.9200000000019</v>
      </c>
      <c r="E15" s="76">
        <v>3677</v>
      </c>
    </row>
    <row r="16" spans="1:5" ht="15.75" thickBot="1" x14ac:dyDescent="0.3">
      <c r="A16" s="78" t="s">
        <v>273</v>
      </c>
      <c r="B16" s="78"/>
      <c r="C16" s="79">
        <f>SUM(C10:C15)</f>
        <v>-15196</v>
      </c>
      <c r="D16" s="80">
        <v>-16885.079999999998</v>
      </c>
      <c r="E16" s="79">
        <v>-16437</v>
      </c>
    </row>
    <row r="17" spans="1:5" ht="26.25" x14ac:dyDescent="0.25">
      <c r="A17" s="75" t="s">
        <v>266</v>
      </c>
      <c r="B17" s="75" t="s">
        <v>277</v>
      </c>
      <c r="C17" s="76">
        <v>1158</v>
      </c>
      <c r="D17" s="45">
        <v>1077.5910000000003</v>
      </c>
      <c r="E17" s="76">
        <v>1113.5337209999998</v>
      </c>
    </row>
    <row r="18" spans="1:5" ht="26.25" x14ac:dyDescent="0.25">
      <c r="A18" s="75" t="s">
        <v>267</v>
      </c>
      <c r="B18" s="75" t="s">
        <v>278</v>
      </c>
      <c r="C18" s="76">
        <v>1270</v>
      </c>
      <c r="D18" s="45">
        <v>432.95699999999999</v>
      </c>
      <c r="E18" s="76">
        <v>557.77375500000005</v>
      </c>
    </row>
    <row r="19" spans="1:5" x14ac:dyDescent="0.25">
      <c r="A19" s="75" t="s">
        <v>268</v>
      </c>
      <c r="B19" s="75" t="s">
        <v>279</v>
      </c>
      <c r="C19" s="76">
        <v>1556</v>
      </c>
      <c r="D19" s="45">
        <v>1256.6869999999999</v>
      </c>
      <c r="E19" s="76">
        <v>1167.3799730000001</v>
      </c>
    </row>
    <row r="20" spans="1:5" x14ac:dyDescent="0.25">
      <c r="A20" s="75" t="s">
        <v>269</v>
      </c>
      <c r="B20" s="75" t="s">
        <v>280</v>
      </c>
      <c r="C20" s="76">
        <v>354</v>
      </c>
      <c r="D20" s="45">
        <v>282.48899999999958</v>
      </c>
      <c r="E20" s="76">
        <v>-141.17447999999968</v>
      </c>
    </row>
    <row r="21" spans="1:5" x14ac:dyDescent="0.25">
      <c r="A21" s="75" t="s">
        <v>270</v>
      </c>
      <c r="B21" s="75" t="s">
        <v>281</v>
      </c>
      <c r="C21" s="76">
        <v>-715</v>
      </c>
      <c r="D21" s="45">
        <v>-1008.037</v>
      </c>
      <c r="E21" s="76">
        <v>-733</v>
      </c>
    </row>
    <row r="22" spans="1:5" ht="15.75" thickBot="1" x14ac:dyDescent="0.3">
      <c r="A22" s="75" t="s">
        <v>271</v>
      </c>
      <c r="B22" s="75"/>
      <c r="C22" s="76">
        <v>-824</v>
      </c>
      <c r="D22" s="45">
        <v>-241</v>
      </c>
      <c r="E22" s="76">
        <v>-13</v>
      </c>
    </row>
    <row r="23" spans="1:5" ht="15.75" thickBot="1" x14ac:dyDescent="0.3">
      <c r="A23" s="78" t="s">
        <v>140</v>
      </c>
      <c r="B23" s="78"/>
      <c r="C23" s="79">
        <f>SUM(C17:C22)</f>
        <v>2799</v>
      </c>
      <c r="D23" s="80">
        <v>1800.6869999999997</v>
      </c>
      <c r="E23" s="79">
        <v>1951.5129690000003</v>
      </c>
    </row>
    <row r="26" spans="1:5" x14ac:dyDescent="0.25">
      <c r="A26" s="214" t="s">
        <v>328</v>
      </c>
      <c r="B26" s="214" t="s">
        <v>329</v>
      </c>
      <c r="C26" s="45"/>
      <c r="D26" s="45"/>
      <c r="E26" s="45"/>
    </row>
    <row r="27" spans="1:5" x14ac:dyDescent="0.25">
      <c r="A27" s="215" t="s">
        <v>330</v>
      </c>
      <c r="B27" s="215" t="s">
        <v>331</v>
      </c>
      <c r="C27" s="209">
        <v>42916</v>
      </c>
      <c r="D27" s="209">
        <v>43281</v>
      </c>
      <c r="E27" s="209">
        <v>43646</v>
      </c>
    </row>
    <row r="28" spans="1:5" x14ac:dyDescent="0.25">
      <c r="A28" s="45" t="s">
        <v>272</v>
      </c>
      <c r="B28" s="45" t="s">
        <v>326</v>
      </c>
      <c r="C28" s="45">
        <f>E3</f>
        <v>9557.5337209999998</v>
      </c>
      <c r="D28" s="76">
        <v>4934</v>
      </c>
      <c r="E28" s="45">
        <f>C3</f>
        <v>8408</v>
      </c>
    </row>
    <row r="29" spans="1:5" ht="15.75" thickBot="1" x14ac:dyDescent="0.3">
      <c r="A29" s="45" t="s">
        <v>273</v>
      </c>
      <c r="B29" s="45" t="s">
        <v>327</v>
      </c>
      <c r="C29" s="45">
        <f>E10</f>
        <v>-8444</v>
      </c>
      <c r="D29" s="76">
        <f>-4242-24-167</f>
        <v>-4433</v>
      </c>
      <c r="E29" s="45">
        <f>C10</f>
        <v>-7250</v>
      </c>
    </row>
    <row r="30" spans="1:5" ht="15.75" thickBot="1" x14ac:dyDescent="0.3">
      <c r="A30" s="207" t="s">
        <v>140</v>
      </c>
      <c r="B30" s="207" t="s">
        <v>140</v>
      </c>
      <c r="C30" s="207">
        <f>E17</f>
        <v>1113.5337209999998</v>
      </c>
      <c r="D30" s="206">
        <v>502</v>
      </c>
      <c r="E30" s="207">
        <f>E28+E29</f>
        <v>1158</v>
      </c>
    </row>
    <row r="33" spans="1:5" x14ac:dyDescent="0.25">
      <c r="A33" s="204" t="s">
        <v>328</v>
      </c>
      <c r="B33" s="204" t="s">
        <v>329</v>
      </c>
    </row>
    <row r="34" spans="1:5" x14ac:dyDescent="0.25">
      <c r="A34" s="163" t="s">
        <v>324</v>
      </c>
      <c r="B34" s="163" t="s">
        <v>325</v>
      </c>
      <c r="C34" s="209">
        <v>42916</v>
      </c>
      <c r="D34" s="209">
        <v>43281</v>
      </c>
      <c r="E34" s="209">
        <v>43646</v>
      </c>
    </row>
    <row r="35" spans="1:5" x14ac:dyDescent="0.25">
      <c r="A35" t="s">
        <v>272</v>
      </c>
      <c r="B35" t="s">
        <v>326</v>
      </c>
      <c r="C35" s="45">
        <f>E4</f>
        <v>837.77375500000005</v>
      </c>
      <c r="D35" s="76">
        <f>D4</f>
        <v>626.95699999999999</v>
      </c>
      <c r="E35" s="45">
        <f>C4</f>
        <v>1594</v>
      </c>
    </row>
    <row r="36" spans="1:5" ht="15.75" thickBot="1" x14ac:dyDescent="0.3">
      <c r="A36" t="s">
        <v>273</v>
      </c>
      <c r="B36" t="s">
        <v>327</v>
      </c>
      <c r="C36" s="45">
        <f>E11</f>
        <v>-280</v>
      </c>
      <c r="D36" s="76">
        <f>D11</f>
        <v>-194</v>
      </c>
      <c r="E36" s="45">
        <f>C11</f>
        <v>-324</v>
      </c>
    </row>
    <row r="37" spans="1:5" ht="15.75" thickBot="1" x14ac:dyDescent="0.3">
      <c r="A37" s="205" t="s">
        <v>140</v>
      </c>
      <c r="B37" s="205" t="s">
        <v>140</v>
      </c>
      <c r="C37" s="207">
        <f>E18</f>
        <v>557.77375500000005</v>
      </c>
      <c r="D37" s="206">
        <f>D18</f>
        <v>432.95699999999999</v>
      </c>
      <c r="E37" s="207">
        <f>E35+E36</f>
        <v>1270</v>
      </c>
    </row>
    <row r="40" spans="1:5" x14ac:dyDescent="0.25">
      <c r="A40" s="204" t="s">
        <v>328</v>
      </c>
      <c r="B40" s="204" t="s">
        <v>329</v>
      </c>
    </row>
    <row r="41" spans="1:5" x14ac:dyDescent="0.25">
      <c r="A41" s="163" t="s">
        <v>268</v>
      </c>
      <c r="B41" s="163" t="s">
        <v>279</v>
      </c>
      <c r="C41" s="209">
        <v>42916</v>
      </c>
      <c r="D41" s="209">
        <v>43281</v>
      </c>
      <c r="E41" s="209">
        <v>43646</v>
      </c>
    </row>
    <row r="42" spans="1:5" x14ac:dyDescent="0.25">
      <c r="A42" t="s">
        <v>272</v>
      </c>
      <c r="B42" t="s">
        <v>326</v>
      </c>
      <c r="C42" s="45">
        <f>E5</f>
        <v>6216.3799730000001</v>
      </c>
      <c r="D42" s="76">
        <f>D5</f>
        <v>7581.6869999999999</v>
      </c>
      <c r="E42" s="45">
        <f>C5</f>
        <v>7841</v>
      </c>
    </row>
    <row r="43" spans="1:5" ht="15.75" thickBot="1" x14ac:dyDescent="0.3">
      <c r="A43" t="s">
        <v>273</v>
      </c>
      <c r="B43" t="s">
        <v>327</v>
      </c>
      <c r="C43" s="45">
        <f>E12</f>
        <v>-5049</v>
      </c>
      <c r="D43" s="76">
        <f>D12</f>
        <v>-6325</v>
      </c>
      <c r="E43" s="45">
        <f>C12</f>
        <v>-6285</v>
      </c>
    </row>
    <row r="44" spans="1:5" ht="15.75" thickBot="1" x14ac:dyDescent="0.3">
      <c r="A44" s="205" t="s">
        <v>140</v>
      </c>
      <c r="B44" s="205" t="s">
        <v>140</v>
      </c>
      <c r="C44" s="207">
        <f>E19</f>
        <v>1167.3799730000001</v>
      </c>
      <c r="D44" s="206">
        <f>D19</f>
        <v>1256.6869999999999</v>
      </c>
      <c r="E44" s="207">
        <f>E42+E43</f>
        <v>1556</v>
      </c>
    </row>
    <row r="47" spans="1:5" x14ac:dyDescent="0.25">
      <c r="A47" s="204" t="s">
        <v>328</v>
      </c>
      <c r="B47" s="204" t="s">
        <v>329</v>
      </c>
    </row>
    <row r="48" spans="1:5" x14ac:dyDescent="0.25">
      <c r="A48" s="163" t="s">
        <v>269</v>
      </c>
      <c r="B48" s="163" t="s">
        <v>332</v>
      </c>
      <c r="C48" s="209">
        <v>42916</v>
      </c>
      <c r="D48" s="209">
        <v>43281</v>
      </c>
      <c r="E48" s="209">
        <v>43646</v>
      </c>
    </row>
    <row r="49" spans="1:5" x14ac:dyDescent="0.25">
      <c r="A49" t="s">
        <v>272</v>
      </c>
      <c r="B49" t="s">
        <v>326</v>
      </c>
      <c r="C49" s="45">
        <f>E6</f>
        <v>5120.8255200000003</v>
      </c>
      <c r="D49" s="76">
        <f>D6</f>
        <v>6943.4889999999996</v>
      </c>
      <c r="E49" s="45">
        <f>C6</f>
        <v>7038</v>
      </c>
    </row>
    <row r="50" spans="1:5" ht="15.75" thickBot="1" x14ac:dyDescent="0.3">
      <c r="A50" t="s">
        <v>273</v>
      </c>
      <c r="B50" t="s">
        <v>327</v>
      </c>
      <c r="C50" s="45">
        <f>E13</f>
        <v>-5262</v>
      </c>
      <c r="D50" s="76">
        <f>D13</f>
        <v>-6661</v>
      </c>
      <c r="E50" s="45">
        <f>C13</f>
        <v>-6684</v>
      </c>
    </row>
    <row r="51" spans="1:5" ht="15.75" thickBot="1" x14ac:dyDescent="0.3">
      <c r="A51" s="205" t="s">
        <v>140</v>
      </c>
      <c r="B51" s="205" t="s">
        <v>140</v>
      </c>
      <c r="C51" s="207">
        <f>E20</f>
        <v>-141.17447999999968</v>
      </c>
      <c r="D51" s="206">
        <f>D20</f>
        <v>282.48899999999958</v>
      </c>
      <c r="E51" s="207">
        <f>E49+E50</f>
        <v>354</v>
      </c>
    </row>
    <row r="54" spans="1:5" x14ac:dyDescent="0.25">
      <c r="A54" s="204" t="s">
        <v>328</v>
      </c>
      <c r="B54" s="204" t="s">
        <v>329</v>
      </c>
    </row>
    <row r="55" spans="1:5" x14ac:dyDescent="0.25">
      <c r="A55" s="163" t="s">
        <v>270</v>
      </c>
      <c r="B55" s="163" t="s">
        <v>281</v>
      </c>
      <c r="C55" s="209">
        <v>42916</v>
      </c>
      <c r="D55" s="209">
        <v>43281</v>
      </c>
      <c r="E55" s="209">
        <v>43646</v>
      </c>
    </row>
    <row r="56" spans="1:5" x14ac:dyDescent="0.25">
      <c r="A56" t="s">
        <v>272</v>
      </c>
      <c r="B56" t="s">
        <v>326</v>
      </c>
      <c r="C56" s="210">
        <f>E7</f>
        <v>346</v>
      </c>
      <c r="D56" s="76">
        <f>D7</f>
        <v>346.96300000000002</v>
      </c>
      <c r="E56" s="45">
        <f>C7</f>
        <v>303</v>
      </c>
    </row>
    <row r="57" spans="1:5" ht="15.75" thickBot="1" x14ac:dyDescent="0.3">
      <c r="A57" t="s">
        <v>273</v>
      </c>
      <c r="B57" t="s">
        <v>327</v>
      </c>
      <c r="C57" s="210">
        <f>E14</f>
        <v>-1079</v>
      </c>
      <c r="D57" s="76">
        <f>D14</f>
        <v>-1355</v>
      </c>
      <c r="E57" s="45">
        <f>C14</f>
        <v>-1018</v>
      </c>
    </row>
    <row r="58" spans="1:5" ht="15.75" thickBot="1" x14ac:dyDescent="0.3">
      <c r="A58" s="205" t="s">
        <v>140</v>
      </c>
      <c r="B58" s="205" t="s">
        <v>140</v>
      </c>
      <c r="C58" s="211">
        <f>E21</f>
        <v>-733</v>
      </c>
      <c r="D58" s="206">
        <f>D21</f>
        <v>-1008.037</v>
      </c>
      <c r="E58" s="207">
        <f>E56+E57</f>
        <v>-715</v>
      </c>
    </row>
    <row r="61" spans="1:5" x14ac:dyDescent="0.25">
      <c r="A61" s="204" t="s">
        <v>328</v>
      </c>
      <c r="B61" s="204" t="s">
        <v>329</v>
      </c>
    </row>
    <row r="62" spans="1:5" x14ac:dyDescent="0.25">
      <c r="A62" s="163" t="s">
        <v>333</v>
      </c>
      <c r="B62" s="163" t="s">
        <v>336</v>
      </c>
      <c r="C62" s="209">
        <v>42916</v>
      </c>
      <c r="D62" s="209">
        <v>43281</v>
      </c>
      <c r="E62" s="209">
        <v>43646</v>
      </c>
    </row>
    <row r="63" spans="1:5" x14ac:dyDescent="0.25">
      <c r="A63" t="s">
        <v>272</v>
      </c>
      <c r="B63" t="s">
        <v>326</v>
      </c>
      <c r="C63" s="210">
        <f t="shared" ref="C63:D63" si="0">C56+C49+C42+C35+C28</f>
        <v>22078.512969000003</v>
      </c>
      <c r="D63" s="76">
        <f t="shared" si="0"/>
        <v>20433.095999999998</v>
      </c>
      <c r="E63" s="45">
        <f>C8</f>
        <v>-7189</v>
      </c>
    </row>
    <row r="64" spans="1:5" ht="15.75" thickBot="1" x14ac:dyDescent="0.3">
      <c r="A64" t="s">
        <v>273</v>
      </c>
      <c r="B64" t="s">
        <v>327</v>
      </c>
      <c r="C64" s="210">
        <f>C57+C50+C43+C36+C29</f>
        <v>-20114</v>
      </c>
      <c r="D64" s="76">
        <f>D57+D50+D43+D36+D29</f>
        <v>-18968</v>
      </c>
      <c r="E64" s="45">
        <f>C15</f>
        <v>6365</v>
      </c>
    </row>
    <row r="65" spans="1:5" ht="15.75" thickBot="1" x14ac:dyDescent="0.3">
      <c r="A65" s="205" t="s">
        <v>140</v>
      </c>
      <c r="B65" s="205" t="s">
        <v>140</v>
      </c>
      <c r="C65" s="211">
        <f>C58+C51+C44+C37+C30</f>
        <v>1964.5129690000003</v>
      </c>
      <c r="D65" s="206">
        <f>D58+D51+D44+D37+D30</f>
        <v>1466.0959999999995</v>
      </c>
      <c r="E65" s="207">
        <f>E63+E64</f>
        <v>-824</v>
      </c>
    </row>
    <row r="68" spans="1:5" x14ac:dyDescent="0.25">
      <c r="A68" s="204" t="s">
        <v>328</v>
      </c>
      <c r="B68" s="204" t="s">
        <v>329</v>
      </c>
    </row>
    <row r="69" spans="1:5" x14ac:dyDescent="0.25">
      <c r="A69" s="163" t="s">
        <v>334</v>
      </c>
      <c r="B69" s="163" t="s">
        <v>335</v>
      </c>
      <c r="C69" s="209">
        <v>42916</v>
      </c>
      <c r="D69" s="209">
        <v>43281</v>
      </c>
      <c r="E69" s="209">
        <v>43646</v>
      </c>
    </row>
    <row r="70" spans="1:5" x14ac:dyDescent="0.25">
      <c r="A70" t="s">
        <v>272</v>
      </c>
      <c r="B70" t="s">
        <v>326</v>
      </c>
      <c r="C70" s="210">
        <f>C63+E8</f>
        <v>18388.512969000003</v>
      </c>
      <c r="D70" s="76">
        <f>D63+D8</f>
        <v>13389.175999999996</v>
      </c>
    </row>
    <row r="71" spans="1:5" ht="15.75" thickBot="1" x14ac:dyDescent="0.3">
      <c r="A71" t="s">
        <v>273</v>
      </c>
      <c r="B71" t="s">
        <v>327</v>
      </c>
      <c r="C71" s="210">
        <f>C64+E15</f>
        <v>-16437</v>
      </c>
      <c r="D71" s="76">
        <f>D64+D15</f>
        <v>-12165.079999999998</v>
      </c>
    </row>
    <row r="72" spans="1:5" ht="15.75" thickBot="1" x14ac:dyDescent="0.3">
      <c r="A72" s="205" t="s">
        <v>140</v>
      </c>
      <c r="B72" s="205" t="s">
        <v>140</v>
      </c>
      <c r="C72" s="211">
        <f>C65+E22</f>
        <v>1951.5129690000003</v>
      </c>
      <c r="D72" s="206">
        <f>D65+D22</f>
        <v>1225.0959999999995</v>
      </c>
      <c r="E72" s="2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2019-11-08T15:19:35Z</dcterms:modified>
</cp:coreProperties>
</file>